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240" yWindow="156" windowWidth="19320" windowHeight="11700" tabRatio="922" firstSheet="1" activeTab="6"/>
  </bookViews>
  <sheets>
    <sheet name="tabela glowna" sheetId="1" r:id="rId1"/>
    <sheet name="tabele uzupelniajace" sheetId="2" r:id="rId2"/>
    <sheet name="tabele dodatkowe" sheetId="3" state="hidden" r:id="rId3"/>
    <sheet name="bilans" sheetId="4" r:id="rId4"/>
    <sheet name="rachunek wyniku" sheetId="5" r:id="rId5"/>
    <sheet name="zestawienie_zmian" sheetId="6" state="hidden" r:id="rId6"/>
    <sheet name="zestawienie_zmian nominal" sheetId="15" r:id="rId7"/>
  </sheets>
  <definedNames>
    <definedName name="eFR_ARK_1_akcje">'tabele uzupelniajace'!$B$21</definedName>
    <definedName name="eFR_ARK_1_gwarant">'tabele dodatkowe'!$B$11</definedName>
    <definedName name="eFR_ARK_bilans">bilans!$B$2:$D$22</definedName>
    <definedName name="eFR_ARK_bilans_kat">bilans!$B$23:$D$33</definedName>
    <definedName name="eFR_ARK_depozyty">'tabele uzupelniajace'!$B$11:$K$15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wyniku'!$B$32:$D$36</definedName>
    <definedName name="eFR_ARK_tab_glowna">'tabela glowna'!$B$2:$H$23</definedName>
    <definedName name="eFR_ARK_tyt_ucz_zagr">'tabele uzupelniajace'!$B$2:$J$7</definedName>
    <definedName name="eFR_ARK_zest_lkat" localSheetId="6">'zestawienie_zmian nominal'!$B$20:$E$55</definedName>
    <definedName name="eFR_ARK_zest_lkat">zestawienie_zmian!$B$20:$E$55</definedName>
    <definedName name="eFR_ARK_zest_wkat" localSheetId="6">'zestawienie_zmian nominal'!$B$56:$F$84</definedName>
    <definedName name="eFR_ARK_zest_wkat">zestawienie_zmian!$B$56:$F$86</definedName>
    <definedName name="eFR_ARK_zest_zmian" localSheetId="6">'zestawienie_zmian nominal'!$B$2:$E$19</definedName>
    <definedName name="eFR_ARK_zest_zmian">zestawienie_zmian!$B$2:$E$19</definedName>
    <definedName name="eFR_ARK_zest_zmian_ukf" localSheetId="6">'zestawienie_zmian nominal'!$B$85:$E$91</definedName>
    <definedName name="eFR_ARK_zest_zmian_ukf">zestawienie_zmian!$B$87:$E$93</definedName>
  </definedNames>
  <calcPr calcId="162913"/>
</workbook>
</file>

<file path=xl/calcChain.xml><?xml version="1.0" encoding="utf-8"?>
<calcChain xmlns="http://schemas.openxmlformats.org/spreadsheetml/2006/main">
  <c r="C24" i="6" l="1"/>
  <c r="C23" i="6"/>
  <c r="C16" i="6"/>
  <c r="C15" i="6"/>
  <c r="G16" i="4"/>
  <c r="C87" i="6" l="1"/>
  <c r="G84" i="6"/>
  <c r="G85" i="6"/>
  <c r="G86" i="6"/>
  <c r="G83" i="6"/>
  <c r="G69" i="6"/>
  <c r="G68" i="6"/>
  <c r="W75" i="6"/>
  <c r="G71" i="6" s="1"/>
  <c r="C71" i="6" s="1"/>
  <c r="W73" i="6"/>
  <c r="G70" i="6" s="1"/>
  <c r="C70" i="6" s="1"/>
  <c r="J80" i="6"/>
  <c r="H81" i="6"/>
  <c r="J81" i="6" s="1"/>
  <c r="H80" i="6"/>
  <c r="H79" i="6"/>
  <c r="J79" i="6" s="1"/>
  <c r="H78" i="6"/>
  <c r="J78" i="6" s="1"/>
  <c r="G81" i="6"/>
  <c r="I81" i="6" s="1"/>
  <c r="G80" i="6"/>
  <c r="I80" i="6" s="1"/>
  <c r="G79" i="6"/>
  <c r="I79" i="6" s="1"/>
  <c r="G78" i="6"/>
  <c r="I78" i="6" s="1"/>
  <c r="C81" i="6"/>
  <c r="C80" i="6"/>
  <c r="C79" i="6"/>
  <c r="C78" i="6"/>
  <c r="J76" i="6"/>
  <c r="I73" i="6"/>
  <c r="D75" i="6"/>
  <c r="D74" i="6"/>
  <c r="D73" i="6"/>
  <c r="C76" i="6"/>
  <c r="C75" i="6"/>
  <c r="C74" i="6"/>
  <c r="C73" i="6"/>
  <c r="H75" i="6"/>
  <c r="J75" i="6" s="1"/>
  <c r="H74" i="6"/>
  <c r="J74" i="6" s="1"/>
  <c r="H73" i="6"/>
  <c r="J73" i="6" s="1"/>
  <c r="G76" i="6"/>
  <c r="I76" i="6" s="1"/>
  <c r="G75" i="6"/>
  <c r="I75" i="6" s="1"/>
  <c r="G74" i="6"/>
  <c r="I74" i="6" s="1"/>
  <c r="G73" i="6"/>
  <c r="G24" i="6"/>
  <c r="G23" i="6"/>
  <c r="Q40" i="6" l="1"/>
  <c r="C90" i="6" l="1"/>
  <c r="C88" i="6"/>
  <c r="E3" i="6" l="1"/>
  <c r="E38" i="6"/>
  <c r="C38" i="6"/>
  <c r="E21" i="6"/>
  <c r="E20" i="6" s="1"/>
  <c r="C21" i="6"/>
  <c r="C20" i="6" s="1"/>
  <c r="C3" i="6"/>
  <c r="M72" i="6" l="1"/>
  <c r="M73" i="6"/>
  <c r="M74" i="6"/>
  <c r="M75" i="6"/>
  <c r="M76" i="6"/>
  <c r="M77" i="6"/>
  <c r="K86" i="6"/>
  <c r="L86" i="6"/>
  <c r="M86" i="6"/>
  <c r="K85" i="6"/>
  <c r="M79" i="6"/>
  <c r="M80" i="6"/>
  <c r="M81" i="6"/>
  <c r="M82" i="6"/>
  <c r="M83" i="6"/>
  <c r="M84" i="6"/>
  <c r="M85" i="6"/>
  <c r="M78" i="6"/>
  <c r="L78" i="6"/>
  <c r="L81" i="6"/>
  <c r="L74" i="6"/>
  <c r="L75" i="6"/>
  <c r="L76" i="6"/>
  <c r="L77" i="6"/>
  <c r="L73" i="6"/>
  <c r="L79" i="6"/>
  <c r="L80" i="6"/>
  <c r="L82" i="6"/>
  <c r="L83" i="6"/>
  <c r="L84" i="6"/>
  <c r="L85" i="6"/>
  <c r="L72" i="6"/>
  <c r="L56" i="6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M63" i="6"/>
  <c r="L64" i="6"/>
  <c r="M64" i="6"/>
  <c r="L65" i="6"/>
  <c r="M65" i="6"/>
  <c r="L66" i="6"/>
  <c r="M66" i="6"/>
  <c r="L67" i="6"/>
  <c r="M67" i="6"/>
  <c r="L68" i="6"/>
  <c r="M68" i="6"/>
  <c r="L69" i="6"/>
  <c r="M69" i="6"/>
  <c r="L70" i="6"/>
  <c r="M70" i="6"/>
  <c r="L71" i="6"/>
  <c r="M71" i="6"/>
  <c r="L50" i="6"/>
  <c r="M50" i="6"/>
  <c r="L51" i="6"/>
  <c r="M51" i="6"/>
  <c r="L52" i="6"/>
  <c r="M52" i="6"/>
  <c r="L53" i="6"/>
  <c r="M53" i="6"/>
  <c r="L54" i="6"/>
  <c r="M54" i="6"/>
  <c r="L55" i="6"/>
  <c r="M55" i="6"/>
  <c r="L38" i="6"/>
  <c r="M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M3" i="6"/>
  <c r="M4" i="6"/>
  <c r="M5" i="6"/>
  <c r="M6" i="6"/>
  <c r="M7" i="6"/>
  <c r="M8" i="6"/>
  <c r="M9" i="6"/>
  <c r="M10" i="6"/>
  <c r="M11" i="6"/>
  <c r="M12" i="6"/>
  <c r="M13" i="6"/>
  <c r="M14" i="6"/>
  <c r="M17" i="6"/>
  <c r="M18" i="6"/>
  <c r="M21" i="6"/>
  <c r="M22" i="6"/>
  <c r="M23" i="6"/>
  <c r="M24" i="6"/>
  <c r="M25" i="6"/>
  <c r="M26" i="6"/>
  <c r="M20" i="6"/>
  <c r="L24" i="6"/>
  <c r="L20" i="6"/>
  <c r="L21" i="6"/>
  <c r="L22" i="6"/>
  <c r="L23" i="6"/>
  <c r="L25" i="6"/>
  <c r="L26" i="6"/>
  <c r="K75" i="6" l="1"/>
  <c r="K76" i="6"/>
  <c r="K77" i="6"/>
  <c r="K78" i="6"/>
  <c r="K79" i="6"/>
  <c r="K80" i="6"/>
  <c r="K81" i="6"/>
  <c r="K82" i="6"/>
  <c r="K83" i="6"/>
  <c r="K84" i="6"/>
  <c r="K71" i="6"/>
  <c r="K72" i="6"/>
  <c r="K73" i="6"/>
  <c r="K74" i="6"/>
  <c r="K66" i="6"/>
  <c r="K67" i="6"/>
  <c r="K68" i="6"/>
  <c r="K69" i="6"/>
  <c r="K70" i="6"/>
  <c r="K60" i="6"/>
  <c r="K61" i="6"/>
  <c r="K62" i="6"/>
  <c r="K63" i="6"/>
  <c r="K64" i="6"/>
  <c r="K65" i="6"/>
  <c r="K51" i="6"/>
  <c r="K52" i="6"/>
  <c r="K53" i="6"/>
  <c r="K54" i="6"/>
  <c r="K55" i="6"/>
  <c r="K56" i="6"/>
  <c r="K57" i="6"/>
  <c r="K58" i="6"/>
  <c r="K59" i="6"/>
  <c r="K46" i="6"/>
  <c r="K47" i="6"/>
  <c r="K48" i="6"/>
  <c r="K49" i="6"/>
  <c r="K50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23" i="6"/>
  <c r="K24" i="6"/>
  <c r="K25" i="6"/>
  <c r="K26" i="6"/>
  <c r="K27" i="6"/>
  <c r="K28" i="6"/>
  <c r="K29" i="6"/>
  <c r="K30" i="6"/>
  <c r="K31" i="6"/>
  <c r="K32" i="6"/>
  <c r="K20" i="6"/>
  <c r="K21" i="6"/>
  <c r="K22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3" i="6"/>
  <c r="G4" i="6"/>
  <c r="G93" i="6" l="1"/>
  <c r="G92" i="6"/>
  <c r="G91" i="6"/>
  <c r="G89" i="6"/>
  <c r="G88" i="6"/>
  <c r="G54" i="6"/>
  <c r="H54" i="6" s="1"/>
  <c r="G50" i="6"/>
  <c r="H50" i="6" s="1"/>
  <c r="G46" i="6"/>
  <c r="H46" i="6" s="1"/>
  <c r="G42" i="6"/>
  <c r="H42" i="6" s="1"/>
  <c r="G64" i="6"/>
  <c r="H64" i="6" s="1"/>
  <c r="G65" i="6"/>
  <c r="H65" i="6" s="1"/>
  <c r="G66" i="6"/>
  <c r="H66" i="6" s="1"/>
  <c r="G63" i="6"/>
  <c r="H63" i="6" s="1"/>
  <c r="G59" i="6"/>
  <c r="H59" i="6" s="1"/>
  <c r="G58" i="6"/>
  <c r="H58" i="6" s="1"/>
  <c r="G31" i="6"/>
  <c r="H38" i="6"/>
  <c r="G38" i="6"/>
  <c r="G37" i="6"/>
  <c r="G36" i="6"/>
  <c r="G35" i="6"/>
  <c r="H34" i="6"/>
  <c r="G34" i="6"/>
  <c r="G33" i="6"/>
  <c r="G32" i="6"/>
  <c r="H30" i="6"/>
  <c r="G30" i="6"/>
  <c r="G29" i="6"/>
  <c r="G28" i="6"/>
  <c r="G27" i="6"/>
  <c r="G25" i="6"/>
  <c r="G26" i="6"/>
  <c r="H26" i="6"/>
  <c r="G16" i="6" l="1"/>
  <c r="H16" i="6" s="1"/>
  <c r="G15" i="6"/>
  <c r="G9" i="6"/>
  <c r="H9" i="6" s="1"/>
  <c r="G8" i="6"/>
  <c r="H8" i="6" s="1"/>
  <c r="G7" i="6"/>
  <c r="H7" i="6" s="1"/>
  <c r="G5" i="6"/>
  <c r="H5" i="6" s="1"/>
  <c r="H4" i="6"/>
  <c r="G14" i="6" l="1"/>
  <c r="G17" i="6" s="1"/>
  <c r="H17" i="6" s="1"/>
  <c r="H15" i="6"/>
  <c r="H14" i="6" l="1"/>
  <c r="S16" i="6"/>
  <c r="S15" i="6"/>
  <c r="E16" i="6"/>
  <c r="M16" i="6" s="1"/>
  <c r="E15" i="6"/>
  <c r="Q15" i="6" l="1"/>
  <c r="M15" i="6"/>
  <c r="I16" i="4"/>
  <c r="H16" i="4"/>
  <c r="E19" i="6" l="1"/>
  <c r="C19" i="6"/>
  <c r="G19" i="6"/>
  <c r="H19" i="6" l="1"/>
  <c r="H88" i="6"/>
  <c r="H89" i="6"/>
  <c r="H93" i="6"/>
  <c r="H91" i="6"/>
  <c r="H92" i="6"/>
  <c r="R19" i="6"/>
  <c r="M19" i="6"/>
  <c r="Q19" i="6"/>
  <c r="Q16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G19" i="4"/>
  <c r="F21" i="4"/>
  <c r="I17" i="4"/>
  <c r="J17" i="4" s="1"/>
  <c r="J16" i="4"/>
  <c r="K16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" i="4"/>
  <c r="G87" i="6" l="1"/>
  <c r="H87" i="6" s="1"/>
  <c r="K87" i="6" s="1"/>
  <c r="G90" i="6"/>
  <c r="H90" i="6" s="1"/>
  <c r="G6" i="6"/>
  <c r="C6" i="6"/>
  <c r="E19" i="4"/>
  <c r="L3" i="6"/>
  <c r="H19" i="4"/>
  <c r="G17" i="4"/>
  <c r="H17" i="4" s="1"/>
  <c r="K17" i="4" s="1"/>
  <c r="G3" i="4"/>
  <c r="G14" i="4"/>
  <c r="G4" i="4"/>
  <c r="G13" i="4"/>
  <c r="J5" i="2"/>
  <c r="J7" i="2" s="1"/>
  <c r="J6" i="2"/>
  <c r="I6" i="2"/>
  <c r="G9" i="4"/>
  <c r="E21" i="4"/>
  <c r="E20" i="4"/>
  <c r="F14" i="4"/>
  <c r="F13" i="4"/>
  <c r="E13" i="4"/>
  <c r="F3" i="4"/>
  <c r="E3" i="4" l="1"/>
  <c r="H6" i="6"/>
  <c r="M13" i="2"/>
  <c r="E14" i="4" l="1"/>
  <c r="K92" i="6"/>
  <c r="K93" i="6"/>
  <c r="K88" i="6"/>
  <c r="K91" i="6"/>
  <c r="K90" i="6"/>
  <c r="K89" i="6"/>
  <c r="C18" i="6"/>
  <c r="G18" i="6"/>
  <c r="H18" i="6" s="1"/>
  <c r="E22" i="4"/>
  <c r="I5" i="2" l="1"/>
  <c r="I7" i="2" s="1"/>
</calcChain>
</file>

<file path=xl/comments1.xml><?xml version="1.0" encoding="utf-8"?>
<comments xmlns="http://schemas.openxmlformats.org/spreadsheetml/2006/main">
  <authors>
    <author>Monika Kowalska</author>
  </authors>
  <commentList>
    <comment ref="H16" authorId="0" shapeId="0">
      <text>
        <r>
          <rPr>
            <b/>
            <sz val="9"/>
            <color indexed="81"/>
            <rFont val="Tahoma"/>
            <family val="2"/>
            <charset val="238"/>
          </rPr>
          <t>Monika Kowalska:</t>
        </r>
        <r>
          <rPr>
            <sz val="9"/>
            <color indexed="81"/>
            <rFont val="Tahoma"/>
            <family val="2"/>
            <charset val="238"/>
          </rPr>
          <t xml:space="preserve">
+111 787,76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Monika Kowalska:</t>
        </r>
        <r>
          <rPr>
            <sz val="9"/>
            <color indexed="81"/>
            <rFont val="Tahoma"/>
            <family val="2"/>
            <charset val="238"/>
          </rPr>
          <t xml:space="preserve">
-111 787,76</t>
        </r>
      </text>
    </comment>
  </commentList>
</comments>
</file>

<file path=xl/sharedStrings.xml><?xml version="1.0" encoding="utf-8"?>
<sst xmlns="http://schemas.openxmlformats.org/spreadsheetml/2006/main" count="733" uniqueCount="163">
  <si>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</si>
  <si>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</si>
  <si>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</si>
  <si>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</si>
  <si>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</si>
  <si>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</si>
  <si>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</si>
  <si>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</si>
  <si>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</si>
  <si>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</si>
  <si>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</si>
  <si>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</si>
  <si>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</si>
  <si>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</si>
  <si>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</si>
  <si>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</si>
  <si>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</si>
  <si>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</si>
  <si>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</si>
  <si>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</si>
  <si>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</si>
  <si>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</si>
  <si>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</si>
  <si>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</si>
  <si>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</si>
  <si>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</si>
  <si>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</si>
  <si>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</si>
  <si>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</si>
  <si>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</si>
  <si>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</si>
  <si>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</si>
  <si>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</si>
  <si>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</si>
  <si>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</si>
  <si>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</si>
  <si>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</si>
  <si>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</si>
  <si>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</si>
  <si>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</si>
  <si>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</si>
  <si>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</si>
  <si>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</si>
  <si>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</si>
  <si>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</si>
  <si>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</si>
  <si>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</si>
  <si>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</si>
  <si>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</si>
  <si>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</si>
  <si>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</si>
  <si>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</si>
  <si>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</si>
  <si>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</si>
  <si>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</si>
  <si>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</si>
  <si>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</si>
  <si>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</si>
  <si>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</si>
  <si>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</si>
  <si>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</si>
  <si>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</si>
  <si>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</si>
  <si>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</si>
  <si>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</si>
  <si>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</si>
  <si>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</si>
  <si>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</si>
  <si>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</si>
  <si>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</si>
  <si>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</si>
  <si>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</si>
  <si>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</si>
  <si>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</si>
  <si>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</si>
  <si>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</si>
  <si>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</si>
  <si>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</si>
  <si>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</si>
  <si>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</si>
  <si>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</si>
  <si>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</si>
  <si>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</si>
  <si>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</si>
  <si>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</si>
  <si>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</si>
  <si>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</si>
  <si>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</si>
  <si>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</si>
  <si>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</si>
  <si>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</si>
  <si>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</si>
  <si>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</si>
  <si>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</si>
  <si>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</si>
  <si>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</si>
  <si>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</si>
  <si>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</si>
  <si>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</si>
  <si>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</si>
  <si>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</si>
  <si>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</si>
  <si>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</si>
  <si>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</si>
  <si>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</si>
  <si>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</si>
  <si>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</si>
  <si>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</si>
  <si>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IRLANDIA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</si>
  <si>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</si>
  <si>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</si>
  <si>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</si>
  <si>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</si>
  <si>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</si>
  <si>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</si>
  <si>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</si>
  <si>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</si>
  <si>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</si>
  <si>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</si>
  <si>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</si>
  <si>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</si>
  <si>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</si>
  <si>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</si>
  <si>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</si>
  <si>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</si>
  <si>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</si>
  <si>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</si>
  <si>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</si>
  <si>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</si>
  <si>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</si>
  <si>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</si>
  <si>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</si>
  <si>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</si>
  <si>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</si>
  <si>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</si>
  <si>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</si>
  <si>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</si>
  <si>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</si>
  <si>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</si>
  <si>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</si>
  <si>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LEGG MASON GLOBAL FUNDS PLC - LEGG MASON QS MV ASIA PACIFIC EX-JAPAN EQUITY GROWTH AND INCOME FUND PLN ACCUMULATING (HEDGED), OPEN-END FUND, ICVC (IE00BPBG5L75)</t>
  </si>
  <si>
    <t>LEGG MASON GLOBAL FUNDS PLC</t>
  </si>
  <si>
    <t>SRB</t>
  </si>
  <si>
    <t>+DEP</t>
  </si>
  <si>
    <t>RÓŻNICA NA ZAKUMULOWANYCH</t>
  </si>
  <si>
    <t xml:space="preserve">Różnica </t>
  </si>
  <si>
    <t>Suma obrotów</t>
  </si>
  <si>
    <t>Wartość</t>
  </si>
  <si>
    <t>Data wyceny</t>
  </si>
  <si>
    <t>korekta w eFR pod dniem 31/12/2018</t>
  </si>
  <si>
    <t>A</t>
  </si>
  <si>
    <t>F</t>
  </si>
  <si>
    <t>H</t>
  </si>
  <si>
    <t>V</t>
  </si>
  <si>
    <t>08-10-2019
02-10-2019</t>
  </si>
  <si>
    <t>weryfikaja danych historycznych</t>
  </si>
  <si>
    <t>(*) Kategoria H i V zostały uruchomione w trakcie roku prezentowana wartośc jest ceną emisyjną. Wartośc zminy procentowej tych kategori jest wyliczona proporcjpnalnie do dni</t>
  </si>
  <si>
    <t>LOKATA 2 DNIOWA  02-01-2020</t>
  </si>
  <si>
    <t>usuń</t>
  </si>
  <si>
    <t>eFR_OK</t>
  </si>
  <si>
    <t>AT</t>
  </si>
  <si>
    <t xml:space="preserve"> </t>
  </si>
  <si>
    <t xml:space="preserve">8. Średnia wartość aktywów netto w okresie sprawozdawczym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</si>
</sst>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71" formatCode="_-* #,##0.000\ _z_ł_-;\-* #,##0.00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5" formatCode="#,##0.000_ ;\-#,##0.000\ "/>
    <numFmt numFmtId="176" formatCode="#,##0.000"/>
  </numFmts>
  <fonts count="31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</font>
    <font>
      <sz val="7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rgb="FF0070C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color rgb="FFFF0000"/>
      <name val="Czcionka tekstu podstawowego"/>
      <charset val="238"/>
    </font>
    <font>
      <b/>
      <sz val="7"/>
      <name val="Czcionka tekstu podstawowego"/>
      <charset val="238"/>
    </font>
    <font>
      <sz val="7"/>
      <name val="Czcionka tekstu podstawowego"/>
      <charset val="238"/>
    </font>
    <font>
      <b/>
      <sz val="8"/>
      <color rgb="FFFF0000"/>
      <name val="Czcionka tekstu podstawowego"/>
      <charset val="238"/>
    </font>
    <font>
      <strike/>
      <sz val="7"/>
      <color rgb="FFFF0000"/>
      <name val="Cambria"/>
      <family val="1"/>
      <charset val="238"/>
    </font>
    <font>
      <strike/>
      <sz val="11"/>
      <color rgb="FFFF0000"/>
      <name val="Cambria"/>
      <family val="1"/>
      <charset val="238"/>
    </font>
    <font>
      <b/>
      <strike/>
      <sz val="7"/>
      <color rgb="FFFF0000"/>
      <name val="Cambria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name val="Czcionka tekstu podstawowego"/>
      <charset val="238"/>
    </font>
    <font>
      <sz val="11"/>
      <color rgb="FFCC00CC"/>
      <name val="Czcionka tekstu podstawowego"/>
      <charset val="238"/>
    </font>
    <font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164" fontId="27" fillId="0" borderId="0" applyFont="0" applyFill="0" applyBorder="0" applyAlignment="0" applyProtection="0"/>
  </cellStyleXfs>
  <cellXfs count="2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/>
    <xf numFmtId="4" fontId="8" fillId="0" borderId="1" xfId="0" applyNumberFormat="1" applyFont="1" applyFill="1" applyBorder="1" applyAlignment="1">
      <alignment horizontal="right" vertical="center" wrapText="1"/>
    </xf>
    <xf numFmtId="164" fontId="0" fillId="0" borderId="0" xfId="1" applyFont="1"/>
    <xf numFmtId="3" fontId="7" fillId="0" borderId="0" xfId="0" applyNumberFormat="1" applyFont="1"/>
    <xf numFmtId="172" fontId="7" fillId="0" borderId="0" xfId="1" applyNumberFormat="1" applyFont="1"/>
    <xf numFmtId="164" fontId="7" fillId="0" borderId="0" xfId="1" applyFont="1"/>
    <xf numFmtId="4" fontId="12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72" fontId="20" fillId="0" borderId="0" xfId="1" applyNumberFormat="1" applyFont="1"/>
    <xf numFmtId="3" fontId="19" fillId="4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14" fontId="7" fillId="0" borderId="0" xfId="0" applyNumberFormat="1" applyFont="1"/>
    <xf numFmtId="171" fontId="7" fillId="0" borderId="0" xfId="1" applyNumberFormat="1" applyFont="1"/>
    <xf numFmtId="164" fontId="9" fillId="0" borderId="0" xfId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right" vertical="center" wrapText="1"/>
    </xf>
    <xf numFmtId="164" fontId="11" fillId="0" borderId="0" xfId="1" applyFont="1" applyFill="1" applyBorder="1" applyAlignment="1">
      <alignment horizontal="right" vertical="center" wrapText="1"/>
    </xf>
    <xf numFmtId="164" fontId="12" fillId="0" borderId="0" xfId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0" fontId="7" fillId="0" borderId="0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2"/>
    </xf>
    <xf numFmtId="0" fontId="14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shrinkToFit="1"/>
    </xf>
    <xf numFmtId="0" fontId="12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4" fillId="0" borderId="1" xfId="1" applyNumberFormat="1" applyFont="1" applyFill="1" applyBorder="1" applyAlignment="1">
      <alignment horizontal="left" vertical="center" shrinkToFit="1"/>
    </xf>
    <xf numFmtId="0" fontId="15" fillId="0" borderId="1" xfId="1" applyNumberFormat="1" applyFont="1" applyFill="1" applyBorder="1" applyAlignment="1">
      <alignment horizontal="left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164" fontId="12" fillId="0" borderId="0" xfId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shrinkToFit="1"/>
    </xf>
    <xf numFmtId="0" fontId="16" fillId="0" borderId="1" xfId="1" applyNumberFormat="1" applyFont="1" applyFill="1" applyBorder="1" applyAlignment="1">
      <alignment vertical="center" shrinkToFit="1"/>
    </xf>
    <xf numFmtId="0" fontId="16" fillId="0" borderId="1" xfId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 vertical="center" wrapText="1"/>
    </xf>
    <xf numFmtId="171" fontId="8" fillId="0" borderId="0" xfId="1" applyNumberFormat="1" applyFont="1" applyFill="1" applyBorder="1" applyAlignment="1">
      <alignment horizontal="right" vertical="center" wrapText="1"/>
    </xf>
    <xf numFmtId="171" fontId="12" fillId="0" borderId="0" xfId="1" applyNumberFormat="1" applyFont="1" applyFill="1" applyBorder="1" applyAlignment="1">
      <alignment horizontal="right" vertical="center" wrapText="1"/>
    </xf>
    <xf numFmtId="171" fontId="12" fillId="0" borderId="0" xfId="1" applyNumberFormat="1" applyFont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2" borderId="3" xfId="0" applyFont="1" applyFill="1" applyBorder="1" applyAlignment="1">
      <alignment horizontal="left" vertical="center" shrinkToFit="1"/>
    </xf>
    <xf numFmtId="164" fontId="21" fillId="0" borderId="0" xfId="1" applyFont="1" applyFill="1" applyBorder="1"/>
    <xf numFmtId="164" fontId="11" fillId="0" borderId="0" xfId="1" applyFont="1" applyFill="1" applyBorder="1" applyAlignment="1">
      <alignment horizontal="center" vertical="center" wrapText="1"/>
    </xf>
    <xf numFmtId="164" fontId="21" fillId="0" borderId="0" xfId="1" applyFont="1" applyFill="1" applyBorder="1" applyAlignment="1">
      <alignment vertical="center" wrapText="1"/>
    </xf>
    <xf numFmtId="164" fontId="11" fillId="0" borderId="0" xfId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171" fontId="7" fillId="0" borderId="0" xfId="0" applyNumberFormat="1" applyFont="1"/>
    <xf numFmtId="14" fontId="7" fillId="0" borderId="17" xfId="0" applyNumberFormat="1" applyFont="1" applyBorder="1"/>
    <xf numFmtId="0" fontId="7" fillId="0" borderId="18" xfId="0" applyFont="1" applyBorder="1"/>
    <xf numFmtId="164" fontId="7" fillId="0" borderId="19" xfId="1" applyFont="1" applyBorder="1"/>
    <xf numFmtId="14" fontId="7" fillId="0" borderId="9" xfId="0" applyNumberFormat="1" applyFont="1" applyBorder="1"/>
    <xf numFmtId="164" fontId="7" fillId="0" borderId="10" xfId="1" applyFont="1" applyBorder="1"/>
    <xf numFmtId="14" fontId="7" fillId="0" borderId="11" xfId="0" applyNumberFormat="1" applyFont="1" applyBorder="1"/>
    <xf numFmtId="0" fontId="7" fillId="0" borderId="12" xfId="0" applyFont="1" applyBorder="1"/>
    <xf numFmtId="164" fontId="7" fillId="0" borderId="13" xfId="1" applyFont="1" applyBorder="1"/>
    <xf numFmtId="14" fontId="7" fillId="0" borderId="0" xfId="0" applyNumberFormat="1" applyFont="1" applyBorder="1" applyAlignment="1">
      <alignment wrapText="1"/>
    </xf>
    <xf numFmtId="168" fontId="1" fillId="0" borderId="0" xfId="0" applyNumberFormat="1" applyFont="1" applyFill="1" applyBorder="1" applyAlignment="1">
      <alignment vertical="center" wrapText="1"/>
    </xf>
    <xf numFmtId="0" fontId="23" fillId="0" borderId="1" xfId="1" applyNumberFormat="1" applyFont="1" applyFill="1" applyBorder="1" applyAlignment="1">
      <alignment horizontal="left" vertical="center" wrapText="1" indent="1"/>
    </xf>
    <xf numFmtId="164" fontId="23" fillId="0" borderId="0" xfId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171" fontId="23" fillId="0" borderId="0" xfId="1" applyNumberFormat="1" applyFont="1" applyFill="1" applyBorder="1" applyAlignment="1">
      <alignment horizontal="right" vertical="center" wrapText="1"/>
    </xf>
    <xf numFmtId="0" fontId="23" fillId="0" borderId="1" xfId="1" applyNumberFormat="1" applyFont="1" applyFill="1" applyBorder="1" applyAlignment="1">
      <alignment vertical="center" shrinkToFit="1"/>
    </xf>
    <xf numFmtId="0" fontId="23" fillId="0" borderId="0" xfId="0" applyFont="1"/>
    <xf numFmtId="0" fontId="24" fillId="0" borderId="0" xfId="0" applyFont="1"/>
    <xf numFmtId="0" fontId="23" fillId="0" borderId="1" xfId="1" applyNumberFormat="1" applyFont="1" applyFill="1" applyBorder="1" applyAlignment="1">
      <alignment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4" fontId="28" fillId="0" borderId="0" xfId="1" applyFont="1"/>
    <xf numFmtId="3" fontId="9" fillId="4" borderId="1" xfId="0" applyNumberFormat="1" applyFont="1" applyFill="1" applyBorder="1" applyAlignment="1">
      <alignment horizontal="righ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4" fontId="9" fillId="0" borderId="0" xfId="0" applyNumberFormat="1" applyFont="1"/>
    <xf numFmtId="14" fontId="1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3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1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21" fillId="0" borderId="0" xfId="0" applyNumberFormat="1" applyFont="1"/>
    <xf numFmtId="1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2" fontId="21" fillId="0" borderId="0" xfId="1" applyNumberFormat="1" applyFont="1"/>
    <xf numFmtId="164" fontId="9" fillId="0" borderId="1" xfId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0" fontId="9" fillId="0" borderId="1" xfId="1" applyNumberFormat="1" applyFont="1" applyFill="1" applyBorder="1" applyAlignment="1">
      <alignment horizontal="left" vertical="center" wrapText="1" indent="2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164" fontId="9" fillId="0" borderId="0" xfId="1" applyFont="1" applyAlignment="1">
      <alignment wrapText="1"/>
    </xf>
    <xf numFmtId="0" fontId="9" fillId="0" borderId="0" xfId="0" quotePrefix="1" applyFont="1" applyAlignment="1">
      <alignment wrapText="1"/>
    </xf>
    <xf numFmtId="3" fontId="9" fillId="0" borderId="0" xfId="0" applyNumberFormat="1" applyFont="1" applyAlignment="1">
      <alignment wrapText="1"/>
    </xf>
    <xf numFmtId="172" fontId="9" fillId="0" borderId="0" xfId="1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71" fontId="9" fillId="0" borderId="1" xfId="1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73" fontId="9" fillId="0" borderId="0" xfId="1" applyNumberFormat="1" applyFont="1" applyAlignment="1">
      <alignment wrapText="1"/>
    </xf>
    <xf numFmtId="171" fontId="9" fillId="0" borderId="0" xfId="1" applyNumberFormat="1" applyFont="1" applyAlignment="1">
      <alignment wrapText="1"/>
    </xf>
    <xf numFmtId="1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14" fontId="11" fillId="2" borderId="6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20" xfId="0" applyFont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164" fontId="8" fillId="0" borderId="3" xfId="1" applyFont="1" applyFill="1" applyBorder="1" applyAlignment="1">
      <alignment horizontal="right" vertical="center" wrapText="1"/>
    </xf>
    <xf numFmtId="164" fontId="8" fillId="0" borderId="1" xfId="1" applyFont="1" applyFill="1" applyBorder="1" applyAlignment="1">
      <alignment horizontal="right" vertical="center" wrapText="1"/>
    </xf>
    <xf numFmtId="164" fontId="23" fillId="0" borderId="6" xfId="1" applyFont="1" applyFill="1" applyBorder="1" applyAlignment="1">
      <alignment horizontal="center" vertical="center" wrapText="1"/>
    </xf>
    <xf numFmtId="164" fontId="23" fillId="0" borderId="4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1" fontId="1" fillId="0" borderId="3" xfId="1" applyNumberFormat="1" applyFont="1" applyFill="1" applyBorder="1" applyAlignment="1">
      <alignment horizontal="right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right" vertical="center" wrapText="1"/>
    </xf>
    <xf numFmtId="164" fontId="0" fillId="0" borderId="4" xfId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71" fontId="1" fillId="0" borderId="1" xfId="1" applyNumberFormat="1" applyFont="1" applyFill="1" applyBorder="1" applyAlignment="1">
      <alignment horizontal="right" vertical="center" wrapText="1"/>
    </xf>
    <xf numFmtId="171" fontId="10" fillId="0" borderId="3" xfId="1" applyNumberFormat="1" applyFont="1" applyFill="1" applyBorder="1" applyAlignment="1">
      <alignment horizontal="right" vertical="center" wrapText="1"/>
    </xf>
    <xf numFmtId="164" fontId="8" fillId="0" borderId="6" xfId="1" applyFont="1" applyFill="1" applyBorder="1" applyAlignment="1">
      <alignment horizontal="right" vertical="center" wrapText="1"/>
    </xf>
    <xf numFmtId="164" fontId="8" fillId="0" borderId="4" xfId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center" vertical="center" wrapText="1"/>
    </xf>
    <xf numFmtId="168" fontId="23" fillId="0" borderId="4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8" fontId="9" fillId="0" borderId="6" xfId="0" applyNumberFormat="1" applyFont="1" applyFill="1" applyBorder="1" applyAlignment="1">
      <alignment horizontal="righ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right" vertical="center" wrapText="1"/>
    </xf>
    <xf numFmtId="164" fontId="9" fillId="0" borderId="4" xfId="1" applyFont="1" applyFill="1" applyBorder="1" applyAlignment="1">
      <alignment horizontal="right" vertical="center" wrapText="1"/>
    </xf>
    <xf numFmtId="171" fontId="9" fillId="0" borderId="3" xfId="1" applyNumberFormat="1" applyFont="1" applyFill="1" applyBorder="1" applyAlignment="1">
      <alignment horizontal="right" vertical="center" wrapText="1"/>
    </xf>
    <xf numFmtId="164" fontId="9" fillId="0" borderId="3" xfId="1" applyFont="1" applyFill="1" applyBorder="1" applyAlignment="1">
      <alignment horizontal="right" vertical="center" wrapText="1"/>
    </xf>
    <xf numFmtId="164" fontId="28" fillId="0" borderId="4" xfId="1" applyFont="1" applyFill="1" applyBorder="1" applyAlignment="1">
      <alignment horizontal="right" vertical="center" wrapText="1"/>
    </xf>
    <xf numFmtId="171" fontId="9" fillId="0" borderId="1" xfId="1" applyNumberFormat="1" applyFont="1" applyFill="1" applyBorder="1" applyAlignment="1">
      <alignment horizontal="right" vertical="center" wrapText="1"/>
    </xf>
    <xf numFmtId="175" fontId="9" fillId="0" borderId="3" xfId="1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175" fontId="9" fillId="0" borderId="1" xfId="1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9">
    <cellStyle name="˙˙˙" xfId="7"/>
    <cellStyle name="Dziesiętny" xfId="1" builtinId="3"/>
    <cellStyle name="Dziesiętny 2" xfId="4"/>
    <cellStyle name="Dziesiętny 3" xfId="6"/>
    <cellStyle name="Dziesiętny 3 3" xfId="8"/>
    <cellStyle name="Normal" xfId="2"/>
    <cellStyle name="Normalny" xfId="0" builtinId="0"/>
    <cellStyle name="Normalny 2" xfId="3"/>
    <cellStyle name="Normalny 3" xf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B17" sqref="B17"/>
    </sheetView>
  </sheetViews>
  <sheetFormatPr defaultColWidth="9" defaultRowHeight="13.8"/>
  <cols>
    <col min="1" max="1" width="3.3984375" style="113" customWidth="1"/>
    <col min="2" max="2" width="41.09765625" style="113" customWidth="1"/>
    <col min="3" max="10" width="13.69921875" style="113" customWidth="1"/>
    <col min="11" max="16384" width="9" style="113"/>
  </cols>
  <sheetData>
    <row r="1" spans="2:10">
      <c r="C1" s="175"/>
      <c r="D1" s="175"/>
      <c r="E1" s="175"/>
      <c r="F1" s="175"/>
      <c r="G1" s="175"/>
      <c r="H1" s="175"/>
    </row>
    <row r="2" spans="2:10">
      <c r="B2" s="112"/>
      <c r="C2" s="170">
        <v>43830</v>
      </c>
      <c r="D2" s="171"/>
      <c r="E2" s="172"/>
      <c r="F2" s="173">
        <v>43465</v>
      </c>
      <c r="G2" s="173"/>
      <c r="H2" s="173"/>
      <c r="I2" s="174"/>
      <c r="J2" s="174"/>
    </row>
    <row r="3" spans="2:10" ht="28.8">
      <c r="B3" s="114" t="s">
        <v>80</v>
      </c>
      <c r="C3" s="115" t="s">
        <v>35</v>
      </c>
      <c r="D3" s="115" t="s">
        <v>37</v>
      </c>
      <c r="E3" s="115" t="s">
        <v>38</v>
      </c>
      <c r="F3" s="115" t="s">
        <v>35</v>
      </c>
      <c r="G3" s="115" t="s">
        <v>37</v>
      </c>
      <c r="H3" s="115" t="s">
        <v>38</v>
      </c>
    </row>
    <row r="4" spans="2:10">
      <c r="B4" s="116" t="s">
        <v>81</v>
      </c>
      <c r="C4" s="117" t="s">
        <v>0</v>
      </c>
      <c r="D4" s="117" t="s">
        <v>0</v>
      </c>
      <c r="E4" s="110" t="s">
        <v>0</v>
      </c>
      <c r="F4" s="117" t="s">
        <v>0</v>
      </c>
      <c r="G4" s="117" t="s">
        <v>0</v>
      </c>
      <c r="H4" s="110" t="s">
        <v>0</v>
      </c>
    </row>
    <row r="5" spans="2:10">
      <c r="B5" s="116" t="s">
        <v>82</v>
      </c>
      <c r="C5" s="117" t="s">
        <v>0</v>
      </c>
      <c r="D5" s="117" t="s">
        <v>0</v>
      </c>
      <c r="E5" s="110" t="s">
        <v>0</v>
      </c>
      <c r="F5" s="117" t="s">
        <v>0</v>
      </c>
      <c r="G5" s="117" t="s">
        <v>0</v>
      </c>
      <c r="H5" s="110" t="s">
        <v>0</v>
      </c>
    </row>
    <row r="6" spans="2:10">
      <c r="B6" s="116" t="s">
        <v>83</v>
      </c>
      <c r="C6" s="117" t="s">
        <v>0</v>
      </c>
      <c r="D6" s="117" t="s">
        <v>0</v>
      </c>
      <c r="E6" s="110" t="s">
        <v>0</v>
      </c>
      <c r="F6" s="117" t="s">
        <v>0</v>
      </c>
      <c r="G6" s="117" t="s">
        <v>0</v>
      </c>
      <c r="H6" s="110" t="s">
        <v>0</v>
      </c>
    </row>
    <row r="7" spans="2:10">
      <c r="B7" s="116" t="s">
        <v>84</v>
      </c>
      <c r="C7" s="117" t="s">
        <v>0</v>
      </c>
      <c r="D7" s="117" t="s">
        <v>0</v>
      </c>
      <c r="E7" s="110" t="s">
        <v>0</v>
      </c>
      <c r="F7" s="117" t="s">
        <v>0</v>
      </c>
      <c r="G7" s="117" t="s">
        <v>0</v>
      </c>
      <c r="H7" s="110" t="s">
        <v>0</v>
      </c>
    </row>
    <row r="8" spans="2:10">
      <c r="B8" s="116" t="s">
        <v>85</v>
      </c>
      <c r="C8" s="117" t="s">
        <v>0</v>
      </c>
      <c r="D8" s="117" t="s">
        <v>0</v>
      </c>
      <c r="E8" s="110" t="s">
        <v>0</v>
      </c>
      <c r="F8" s="117" t="s">
        <v>0</v>
      </c>
      <c r="G8" s="117" t="s">
        <v>0</v>
      </c>
      <c r="H8" s="110" t="s">
        <v>0</v>
      </c>
    </row>
    <row r="9" spans="2:10">
      <c r="B9" s="116" t="s">
        <v>86</v>
      </c>
      <c r="C9" s="117" t="s">
        <v>0</v>
      </c>
      <c r="D9" s="117" t="s">
        <v>0</v>
      </c>
      <c r="E9" s="110" t="s">
        <v>0</v>
      </c>
      <c r="F9" s="117" t="s">
        <v>0</v>
      </c>
      <c r="G9" s="117" t="s">
        <v>0</v>
      </c>
      <c r="H9" s="110" t="s">
        <v>0</v>
      </c>
    </row>
    <row r="10" spans="2:10">
      <c r="B10" s="116" t="s">
        <v>87</v>
      </c>
      <c r="C10" s="117" t="s">
        <v>0</v>
      </c>
      <c r="D10" s="117" t="s">
        <v>0</v>
      </c>
      <c r="E10" s="110" t="s">
        <v>0</v>
      </c>
      <c r="F10" s="117" t="s">
        <v>0</v>
      </c>
      <c r="G10" s="117" t="s">
        <v>0</v>
      </c>
      <c r="H10" s="110" t="s">
        <v>0</v>
      </c>
    </row>
    <row r="11" spans="2:10">
      <c r="B11" s="116" t="s">
        <v>88</v>
      </c>
      <c r="C11" s="117" t="s">
        <v>0</v>
      </c>
      <c r="D11" s="117" t="s">
        <v>0</v>
      </c>
      <c r="E11" s="110" t="s">
        <v>0</v>
      </c>
      <c r="F11" s="117" t="s">
        <v>0</v>
      </c>
      <c r="G11" s="117" t="s">
        <v>0</v>
      </c>
      <c r="H11" s="110" t="s">
        <v>0</v>
      </c>
    </row>
    <row r="12" spans="2:10">
      <c r="B12" s="116" t="s">
        <v>89</v>
      </c>
      <c r="C12" s="117" t="s">
        <v>0</v>
      </c>
      <c r="D12" s="117" t="s">
        <v>0</v>
      </c>
      <c r="E12" s="110" t="s">
        <v>0</v>
      </c>
      <c r="F12" s="117" t="s">
        <v>0</v>
      </c>
      <c r="G12" s="117" t="s">
        <v>0</v>
      </c>
      <c r="H12" s="110" t="s">
        <v>0</v>
      </c>
    </row>
    <row r="13" spans="2:10">
      <c r="B13" s="116" t="s">
        <v>90</v>
      </c>
      <c r="C13" s="117" t="s">
        <v>0</v>
      </c>
      <c r="D13" s="117" t="s">
        <v>0</v>
      </c>
      <c r="E13" s="110" t="s">
        <v>0</v>
      </c>
      <c r="F13" s="117" t="s">
        <v>0</v>
      </c>
      <c r="G13" s="117" t="s">
        <v>0</v>
      </c>
      <c r="H13" s="110" t="s">
        <v>0</v>
      </c>
    </row>
    <row r="14" spans="2:10">
      <c r="B14" s="116" t="s">
        <v>91</v>
      </c>
      <c r="C14" s="117" t="s">
        <v>0</v>
      </c>
      <c r="D14" s="117" t="s">
        <v>0</v>
      </c>
      <c r="E14" s="110" t="s">
        <v>0</v>
      </c>
      <c r="F14" s="117" t="s">
        <v>0</v>
      </c>
      <c r="G14" s="117" t="s">
        <v>0</v>
      </c>
      <c r="H14" s="110" t="s">
        <v>0</v>
      </c>
    </row>
    <row r="15" spans="2:10" ht="19.2">
      <c r="B15" s="116" t="s">
        <v>92</v>
      </c>
      <c r="C15" s="117">
        <v>9639</v>
      </c>
      <c r="D15" s="117">
        <v>11259</v>
      </c>
      <c r="E15" s="110">
        <v>97.68</v>
      </c>
      <c r="F15" s="117">
        <v>10338</v>
      </c>
      <c r="G15" s="117">
        <v>11114</v>
      </c>
      <c r="H15" s="110">
        <v>95.89</v>
      </c>
      <c r="I15" s="118"/>
    </row>
    <row r="16" spans="2:10">
      <c r="B16" s="116" t="s">
        <v>93</v>
      </c>
      <c r="C16" s="117" t="s">
        <v>0</v>
      </c>
      <c r="D16" s="117" t="s">
        <v>0</v>
      </c>
      <c r="E16" s="110" t="s">
        <v>0</v>
      </c>
      <c r="F16" s="117" t="s">
        <v>0</v>
      </c>
      <c r="G16" s="117" t="s">
        <v>0</v>
      </c>
      <c r="H16" s="110" t="s">
        <v>0</v>
      </c>
    </row>
    <row r="17" spans="2:10">
      <c r="B17" s="116" t="s">
        <v>94</v>
      </c>
      <c r="C17" s="117" t="s">
        <v>0</v>
      </c>
      <c r="D17" s="117" t="s">
        <v>0</v>
      </c>
      <c r="E17" s="110" t="s">
        <v>0</v>
      </c>
      <c r="F17" s="117" t="s">
        <v>0</v>
      </c>
      <c r="G17" s="117" t="s">
        <v>0</v>
      </c>
      <c r="H17" s="110" t="s">
        <v>0</v>
      </c>
    </row>
    <row r="18" spans="2:10">
      <c r="B18" s="116" t="s">
        <v>61</v>
      </c>
      <c r="C18" s="117">
        <v>245</v>
      </c>
      <c r="D18" s="117">
        <v>245</v>
      </c>
      <c r="E18" s="110">
        <v>2.13</v>
      </c>
      <c r="F18" s="117">
        <v>440</v>
      </c>
      <c r="G18" s="117">
        <v>440</v>
      </c>
      <c r="H18" s="110">
        <v>3.8</v>
      </c>
      <c r="I18" s="118"/>
    </row>
    <row r="19" spans="2:10">
      <c r="B19" s="116" t="s">
        <v>95</v>
      </c>
      <c r="C19" s="117" t="s">
        <v>0</v>
      </c>
      <c r="D19" s="117" t="s">
        <v>0</v>
      </c>
      <c r="E19" s="110" t="s">
        <v>0</v>
      </c>
      <c r="F19" s="117" t="s">
        <v>0</v>
      </c>
      <c r="G19" s="117" t="s">
        <v>0</v>
      </c>
      <c r="H19" s="110" t="s">
        <v>0</v>
      </c>
      <c r="I19" s="118"/>
    </row>
    <row r="20" spans="2:10">
      <c r="B20" s="116" t="s">
        <v>47</v>
      </c>
      <c r="C20" s="117" t="s">
        <v>0</v>
      </c>
      <c r="D20" s="117" t="s">
        <v>0</v>
      </c>
      <c r="E20" s="110" t="s">
        <v>0</v>
      </c>
      <c r="F20" s="117" t="s">
        <v>0</v>
      </c>
      <c r="G20" s="117" t="s">
        <v>0</v>
      </c>
      <c r="H20" s="110" t="s">
        <v>0</v>
      </c>
    </row>
    <row r="21" spans="2:10">
      <c r="B21" s="116" t="s">
        <v>96</v>
      </c>
      <c r="C21" s="117" t="s">
        <v>0</v>
      </c>
      <c r="D21" s="117" t="s">
        <v>0</v>
      </c>
      <c r="E21" s="110" t="s">
        <v>0</v>
      </c>
      <c r="F21" s="117" t="s">
        <v>0</v>
      </c>
      <c r="G21" s="117" t="s">
        <v>0</v>
      </c>
      <c r="H21" s="110" t="s">
        <v>0</v>
      </c>
    </row>
    <row r="22" spans="2:10">
      <c r="B22" s="116" t="s">
        <v>97</v>
      </c>
      <c r="C22" s="117" t="s">
        <v>0</v>
      </c>
      <c r="D22" s="117" t="s">
        <v>0</v>
      </c>
      <c r="E22" s="110" t="s">
        <v>0</v>
      </c>
      <c r="F22" s="117" t="s">
        <v>0</v>
      </c>
      <c r="G22" s="117" t="s">
        <v>0</v>
      </c>
      <c r="H22" s="110" t="s">
        <v>0</v>
      </c>
    </row>
    <row r="23" spans="2:10">
      <c r="B23" s="120" t="s">
        <v>45</v>
      </c>
      <c r="C23" s="121">
        <v>9884</v>
      </c>
      <c r="D23" s="121">
        <v>11504</v>
      </c>
      <c r="E23" s="122">
        <v>99.81</v>
      </c>
      <c r="F23" s="121">
        <v>10778</v>
      </c>
      <c r="G23" s="121">
        <v>11554</v>
      </c>
      <c r="H23" s="122">
        <v>99.69</v>
      </c>
      <c r="I23" s="118"/>
    </row>
    <row r="25" spans="2:10" ht="21.75" customHeight="1">
      <c r="B25" s="123"/>
      <c r="C25" s="124"/>
      <c r="D25" s="124"/>
      <c r="E25" s="124"/>
      <c r="F25" s="123"/>
      <c r="G25" s="123"/>
      <c r="H25" s="123"/>
      <c r="I25" s="123"/>
      <c r="J25" s="123"/>
    </row>
    <row r="26" spans="2:10">
      <c r="C26" s="125"/>
      <c r="D26" s="124"/>
      <c r="E26" s="124"/>
    </row>
    <row r="27" spans="2:10">
      <c r="C27" s="124"/>
      <c r="D27" s="124"/>
      <c r="E27" s="124"/>
      <c r="F27" s="124"/>
      <c r="G27" s="124"/>
      <c r="H27" s="124"/>
    </row>
  </sheetData>
  <mergeCells count="5">
    <mergeCell ref="C2:E2"/>
    <mergeCell ref="F2:H2"/>
    <mergeCell ref="I2:J2"/>
    <mergeCell ref="F1:H1"/>
    <mergeCell ref="C1: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L11" sqref="L11"/>
    </sheetView>
  </sheetViews>
  <sheetFormatPr defaultColWidth="9" defaultRowHeight="13.8"/>
  <cols>
    <col min="1" max="1" width="9" style="113"/>
    <col min="2" max="2" width="31.19921875" style="113" customWidth="1"/>
    <col min="3" max="15" width="13.69921875" style="113" customWidth="1"/>
    <col min="16" max="16384" width="9" style="113"/>
  </cols>
  <sheetData>
    <row r="2" spans="2:13" ht="38.4">
      <c r="B2" s="115" t="s">
        <v>98</v>
      </c>
      <c r="C2" s="115" t="s">
        <v>99</v>
      </c>
      <c r="D2" s="115" t="s">
        <v>100</v>
      </c>
      <c r="E2" s="115" t="s">
        <v>101</v>
      </c>
      <c r="F2" s="115" t="s">
        <v>102</v>
      </c>
      <c r="G2" s="115" t="s">
        <v>103</v>
      </c>
      <c r="H2" s="115" t="s">
        <v>35</v>
      </c>
      <c r="I2" s="115" t="s">
        <v>37</v>
      </c>
      <c r="J2" s="115" t="s">
        <v>38</v>
      </c>
    </row>
    <row r="3" spans="2:13">
      <c r="B3" s="116" t="s">
        <v>104</v>
      </c>
      <c r="C3" s="160"/>
      <c r="D3" s="160"/>
      <c r="E3" s="160"/>
      <c r="F3" s="160"/>
      <c r="G3" s="129" t="s">
        <v>0</v>
      </c>
      <c r="H3" s="117" t="s">
        <v>0</v>
      </c>
      <c r="I3" s="117" t="s">
        <v>0</v>
      </c>
      <c r="J3" s="110" t="s">
        <v>0</v>
      </c>
    </row>
    <row r="4" spans="2:13">
      <c r="B4" s="116" t="s">
        <v>105</v>
      </c>
      <c r="C4" s="160"/>
      <c r="D4" s="160"/>
      <c r="E4" s="160"/>
      <c r="F4" s="160"/>
      <c r="G4" s="129" t="s">
        <v>0</v>
      </c>
      <c r="H4" s="117" t="s">
        <v>0</v>
      </c>
      <c r="I4" s="117" t="s">
        <v>0</v>
      </c>
      <c r="J4" s="110" t="s">
        <v>0</v>
      </c>
    </row>
    <row r="5" spans="2:13">
      <c r="B5" s="116" t="s">
        <v>106</v>
      </c>
      <c r="C5" s="160"/>
      <c r="D5" s="160"/>
      <c r="E5" s="160"/>
      <c r="F5" s="160"/>
      <c r="G5" s="129">
        <v>83174.376999999993</v>
      </c>
      <c r="H5" s="117">
        <v>9639</v>
      </c>
      <c r="I5" s="117">
        <f>+I6</f>
        <v>11259</v>
      </c>
      <c r="J5" s="110">
        <f>+J6</f>
        <v>97.68</v>
      </c>
    </row>
    <row r="6" spans="2:13" ht="48">
      <c r="B6" s="127" t="s">
        <v>140</v>
      </c>
      <c r="C6" s="161" t="s">
        <v>106</v>
      </c>
      <c r="D6" s="161" t="s">
        <v>107</v>
      </c>
      <c r="E6" s="162" t="s">
        <v>141</v>
      </c>
      <c r="F6" s="161" t="s">
        <v>108</v>
      </c>
      <c r="G6" s="117">
        <v>83174.376999999993</v>
      </c>
      <c r="H6" s="117">
        <v>9639</v>
      </c>
      <c r="I6" s="117">
        <f>1+11258</f>
        <v>11259</v>
      </c>
      <c r="J6" s="110">
        <f>0.01+97.67</f>
        <v>97.68</v>
      </c>
      <c r="K6" s="146"/>
      <c r="L6" s="146"/>
    </row>
    <row r="7" spans="2:13">
      <c r="B7" s="128" t="s">
        <v>45</v>
      </c>
      <c r="C7" s="163"/>
      <c r="D7" s="163"/>
      <c r="E7" s="163"/>
      <c r="F7" s="163"/>
      <c r="G7" s="129">
        <v>83174.376999999993</v>
      </c>
      <c r="H7" s="129">
        <v>9639</v>
      </c>
      <c r="I7" s="129">
        <f>+I5</f>
        <v>11259</v>
      </c>
      <c r="J7" s="164">
        <f>+J5</f>
        <v>97.68</v>
      </c>
    </row>
    <row r="11" spans="2:13" ht="38.4">
      <c r="B11" s="115" t="s">
        <v>29</v>
      </c>
      <c r="C11" s="115" t="s">
        <v>30</v>
      </c>
      <c r="D11" s="115" t="s">
        <v>31</v>
      </c>
      <c r="E11" s="115" t="s">
        <v>32</v>
      </c>
      <c r="F11" s="115" t="s">
        <v>33</v>
      </c>
      <c r="G11" s="115" t="s">
        <v>34</v>
      </c>
      <c r="H11" s="115" t="s">
        <v>35</v>
      </c>
      <c r="I11" s="115" t="s">
        <v>36</v>
      </c>
      <c r="J11" s="115" t="s">
        <v>37</v>
      </c>
      <c r="K11" s="115" t="s">
        <v>38</v>
      </c>
    </row>
    <row r="12" spans="2:13">
      <c r="B12" s="116" t="s">
        <v>39</v>
      </c>
      <c r="C12" s="165"/>
      <c r="D12" s="165"/>
      <c r="E12" s="165"/>
      <c r="F12" s="165"/>
      <c r="G12" s="117"/>
      <c r="H12" s="117">
        <v>245</v>
      </c>
      <c r="I12" s="117"/>
      <c r="J12" s="117">
        <v>245</v>
      </c>
      <c r="K12" s="110">
        <v>2.13</v>
      </c>
    </row>
    <row r="13" spans="2:13">
      <c r="B13" s="127" t="s">
        <v>157</v>
      </c>
      <c r="C13" s="161" t="s">
        <v>40</v>
      </c>
      <c r="D13" s="161" t="s">
        <v>41</v>
      </c>
      <c r="E13" s="161" t="s">
        <v>42</v>
      </c>
      <c r="F13" s="166" t="s">
        <v>43</v>
      </c>
      <c r="G13" s="117">
        <v>245</v>
      </c>
      <c r="H13" s="117">
        <v>245</v>
      </c>
      <c r="I13" s="117">
        <v>245</v>
      </c>
      <c r="J13" s="117">
        <v>245</v>
      </c>
      <c r="K13" s="110">
        <v>2.13</v>
      </c>
      <c r="L13" s="146"/>
      <c r="M13" s="146">
        <f>+L13-K13</f>
        <v>-2.13</v>
      </c>
    </row>
    <row r="14" spans="2:13">
      <c r="B14" s="116" t="s">
        <v>44</v>
      </c>
      <c r="C14" s="165"/>
      <c r="D14" s="165"/>
      <c r="E14" s="165"/>
      <c r="F14" s="165"/>
      <c r="G14" s="117"/>
      <c r="H14" s="117" t="s">
        <v>0</v>
      </c>
      <c r="I14" s="117"/>
      <c r="J14" s="117" t="s">
        <v>0</v>
      </c>
      <c r="K14" s="110" t="s">
        <v>0</v>
      </c>
    </row>
    <row r="15" spans="2:13">
      <c r="B15" s="128" t="s">
        <v>45</v>
      </c>
      <c r="C15" s="163"/>
      <c r="D15" s="163"/>
      <c r="E15" s="163"/>
      <c r="F15" s="163"/>
      <c r="G15" s="167"/>
      <c r="H15" s="129">
        <v>245</v>
      </c>
      <c r="I15" s="167"/>
      <c r="J15" s="129">
        <v>245</v>
      </c>
      <c r="K15" s="164">
        <v>2.13</v>
      </c>
    </row>
    <row r="21" spans="2:2">
      <c r="B21" s="139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26" sqref="B26"/>
    </sheetView>
  </sheetViews>
  <sheetFormatPr defaultRowHeight="13.8"/>
  <cols>
    <col min="2" max="2" width="31.19921875" customWidth="1"/>
    <col min="3" max="10" width="13.69921875" customWidth="1"/>
  </cols>
  <sheetData>
    <row r="11" spans="2:2">
      <c r="B11" s="13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3"/>
  <sheetViews>
    <sheetView workbookViewId="0">
      <selection activeCell="C3" sqref="C3:D33"/>
    </sheetView>
  </sheetViews>
  <sheetFormatPr defaultColWidth="9" defaultRowHeight="13.8"/>
  <cols>
    <col min="1" max="1" width="9" style="113"/>
    <col min="2" max="2" width="47.09765625" style="113" bestFit="1" customWidth="1"/>
    <col min="3" max="4" width="15.5" style="113" customWidth="1"/>
    <col min="5" max="5" width="12.19921875" style="113" customWidth="1"/>
    <col min="6" max="6" width="7" style="113" customWidth="1"/>
    <col min="7" max="7" width="9.5" style="150" customWidth="1"/>
    <col min="8" max="8" width="15.5" style="113" customWidth="1"/>
    <col min="9" max="11" width="7" style="113" customWidth="1"/>
    <col min="12" max="13" width="9" style="113"/>
    <col min="14" max="14" width="9" style="137"/>
    <col min="15" max="16384" width="9" style="113"/>
  </cols>
  <sheetData>
    <row r="1" spans="2:14">
      <c r="C1" s="168" t="s">
        <v>159</v>
      </c>
      <c r="D1" s="168" t="s">
        <v>159</v>
      </c>
    </row>
    <row r="2" spans="2:14" ht="19.8">
      <c r="B2" s="115" t="s">
        <v>3</v>
      </c>
      <c r="C2" s="126">
        <v>43830</v>
      </c>
      <c r="D2" s="126">
        <v>43465</v>
      </c>
      <c r="G2" s="150" t="s">
        <v>3</v>
      </c>
      <c r="H2" s="150" t="s">
        <v>145</v>
      </c>
      <c r="I2" s="150" t="s">
        <v>146</v>
      </c>
      <c r="J2" s="150" t="s">
        <v>145</v>
      </c>
      <c r="K2" s="150"/>
      <c r="L2" s="150"/>
      <c r="M2" s="126">
        <v>43465</v>
      </c>
    </row>
    <row r="3" spans="2:14">
      <c r="B3" s="128" t="s">
        <v>4</v>
      </c>
      <c r="C3" s="129">
        <v>11527</v>
      </c>
      <c r="D3" s="129">
        <v>11590</v>
      </c>
      <c r="E3" s="149" t="b">
        <f>SUM(C4:C7)+SUM(C11:C12)+C9=C3</f>
        <v>1</v>
      </c>
      <c r="F3" s="149" t="b">
        <f>SUM(D4:D7)+SUM(D11:D12)+D9=D3</f>
        <v>1</v>
      </c>
      <c r="G3" s="150" t="e">
        <f>+#REF!/1000</f>
        <v>#REF!</v>
      </c>
      <c r="H3" s="149"/>
      <c r="M3" s="129">
        <v>11590</v>
      </c>
      <c r="N3" s="140" t="b">
        <f>M3=D3</f>
        <v>1</v>
      </c>
    </row>
    <row r="4" spans="2:14">
      <c r="B4" s="127" t="s">
        <v>5</v>
      </c>
      <c r="C4" s="117">
        <v>23</v>
      </c>
      <c r="D4" s="117">
        <v>33</v>
      </c>
      <c r="E4" s="149" t="s">
        <v>142</v>
      </c>
      <c r="G4" s="150" t="e">
        <f>+#REF!+#REF!</f>
        <v>#REF!</v>
      </c>
      <c r="H4" s="149"/>
      <c r="M4" s="119">
        <v>33</v>
      </c>
      <c r="N4" s="140" t="b">
        <f t="shared" ref="N4:N31" si="0">M4=D4</f>
        <v>1</v>
      </c>
    </row>
    <row r="5" spans="2:14">
      <c r="B5" s="127" t="s">
        <v>6</v>
      </c>
      <c r="C5" s="111">
        <v>0</v>
      </c>
      <c r="D5" s="117">
        <v>3</v>
      </c>
      <c r="E5" s="149"/>
      <c r="F5" s="149"/>
      <c r="H5" s="149"/>
      <c r="M5" s="117">
        <v>3</v>
      </c>
      <c r="N5" s="140" t="b">
        <f t="shared" si="0"/>
        <v>1</v>
      </c>
    </row>
    <row r="6" spans="2:14">
      <c r="B6" s="127" t="s">
        <v>7</v>
      </c>
      <c r="C6" s="111">
        <v>0</v>
      </c>
      <c r="D6" s="111">
        <v>0</v>
      </c>
      <c r="E6" s="149"/>
      <c r="F6" s="149"/>
      <c r="H6" s="149"/>
      <c r="M6" s="117">
        <v>0</v>
      </c>
      <c r="N6" s="140" t="b">
        <f t="shared" si="0"/>
        <v>1</v>
      </c>
    </row>
    <row r="7" spans="2:14">
      <c r="B7" s="127" t="s">
        <v>8</v>
      </c>
      <c r="C7" s="111">
        <v>0</v>
      </c>
      <c r="D7" s="111">
        <v>0</v>
      </c>
      <c r="E7" s="149"/>
      <c r="F7" s="149"/>
      <c r="H7" s="149"/>
      <c r="M7" s="117">
        <v>0</v>
      </c>
      <c r="N7" s="140" t="b">
        <f t="shared" si="0"/>
        <v>1</v>
      </c>
    </row>
    <row r="8" spans="2:14">
      <c r="B8" s="127" t="s">
        <v>9</v>
      </c>
      <c r="C8" s="111">
        <v>0</v>
      </c>
      <c r="D8" s="111">
        <v>0</v>
      </c>
      <c r="E8" s="149"/>
      <c r="F8" s="149"/>
      <c r="H8" s="149"/>
      <c r="M8" s="117">
        <v>0</v>
      </c>
      <c r="N8" s="140" t="b">
        <f t="shared" si="0"/>
        <v>1</v>
      </c>
    </row>
    <row r="9" spans="2:14">
      <c r="B9" s="127" t="s">
        <v>10</v>
      </c>
      <c r="C9" s="117">
        <v>11504</v>
      </c>
      <c r="D9" s="117">
        <v>11554</v>
      </c>
      <c r="E9" s="151" t="s">
        <v>143</v>
      </c>
      <c r="G9" s="150" t="e">
        <f>(#REF!+#REF!+#REF!)/1000</f>
        <v>#REF!</v>
      </c>
      <c r="H9" s="149"/>
      <c r="M9" s="119">
        <v>11554</v>
      </c>
      <c r="N9" s="140" t="b">
        <f t="shared" si="0"/>
        <v>1</v>
      </c>
    </row>
    <row r="10" spans="2:14">
      <c r="B10" s="127" t="s">
        <v>9</v>
      </c>
      <c r="C10" s="111">
        <v>0</v>
      </c>
      <c r="D10" s="111">
        <v>0</v>
      </c>
      <c r="E10" s="149"/>
      <c r="F10" s="149"/>
      <c r="H10" s="149"/>
      <c r="M10" s="117">
        <v>0</v>
      </c>
      <c r="N10" s="140" t="b">
        <f t="shared" si="0"/>
        <v>1</v>
      </c>
    </row>
    <row r="11" spans="2:14">
      <c r="B11" s="127" t="s">
        <v>11</v>
      </c>
      <c r="C11" s="111">
        <v>0</v>
      </c>
      <c r="D11" s="111">
        <v>0</v>
      </c>
      <c r="E11" s="149"/>
      <c r="F11" s="149"/>
      <c r="H11" s="149"/>
      <c r="M11" s="117">
        <v>0</v>
      </c>
      <c r="N11" s="140" t="b">
        <f t="shared" si="0"/>
        <v>1</v>
      </c>
    </row>
    <row r="12" spans="2:14">
      <c r="B12" s="127" t="s">
        <v>12</v>
      </c>
      <c r="C12" s="111">
        <v>0</v>
      </c>
      <c r="D12" s="111">
        <v>0</v>
      </c>
      <c r="E12" s="149"/>
      <c r="F12" s="149"/>
      <c r="H12" s="149"/>
      <c r="M12" s="117">
        <v>0</v>
      </c>
      <c r="N12" s="140" t="b">
        <f t="shared" si="0"/>
        <v>1</v>
      </c>
    </row>
    <row r="13" spans="2:14">
      <c r="B13" s="128" t="s">
        <v>13</v>
      </c>
      <c r="C13" s="129">
        <v>41</v>
      </c>
      <c r="D13" s="129">
        <v>81</v>
      </c>
      <c r="E13" s="152" t="e">
        <f>SUM(#REF!)=C13</f>
        <v>#REF!</v>
      </c>
      <c r="F13" s="152" t="e">
        <f>SUM(#REF!)=D13</f>
        <v>#REF!</v>
      </c>
      <c r="G13" s="150" t="e">
        <f>+#REF!/1000</f>
        <v>#REF!</v>
      </c>
      <c r="H13" s="149"/>
      <c r="M13" s="129">
        <v>81</v>
      </c>
      <c r="N13" s="140" t="b">
        <f t="shared" si="0"/>
        <v>1</v>
      </c>
    </row>
    <row r="14" spans="2:14">
      <c r="B14" s="128" t="s">
        <v>14</v>
      </c>
      <c r="C14" s="129">
        <v>11486</v>
      </c>
      <c r="D14" s="129">
        <v>11509</v>
      </c>
      <c r="E14" s="152" t="b">
        <f>C14=C22</f>
        <v>1</v>
      </c>
      <c r="F14" s="149" t="b">
        <f>D14=D22</f>
        <v>1</v>
      </c>
      <c r="G14" s="150" t="e">
        <f>+#REF!/1000</f>
        <v>#REF!</v>
      </c>
      <c r="H14" s="149"/>
      <c r="M14" s="129">
        <v>11509</v>
      </c>
      <c r="N14" s="140" t="b">
        <f t="shared" si="0"/>
        <v>1</v>
      </c>
    </row>
    <row r="15" spans="2:14">
      <c r="B15" s="128" t="s">
        <v>15</v>
      </c>
      <c r="C15" s="129">
        <v>10940</v>
      </c>
      <c r="D15" s="129">
        <v>11410</v>
      </c>
      <c r="E15" s="149" t="s">
        <v>160</v>
      </c>
      <c r="F15" s="149"/>
      <c r="H15" s="149"/>
      <c r="M15" s="129">
        <v>11410</v>
      </c>
      <c r="N15" s="140" t="b">
        <f t="shared" si="0"/>
        <v>1</v>
      </c>
    </row>
    <row r="16" spans="2:14">
      <c r="B16" s="127" t="s">
        <v>16</v>
      </c>
      <c r="C16" s="117">
        <v>22981</v>
      </c>
      <c r="D16" s="117">
        <v>20037</v>
      </c>
      <c r="E16" s="150">
        <v>22980931.890000001</v>
      </c>
      <c r="F16" s="150"/>
      <c r="G16" s="153" t="e">
        <f>SUM(#REF!)/1000</f>
        <v>#REF!</v>
      </c>
      <c r="H16" s="153" t="e">
        <f>+G16-C16</f>
        <v>#REF!</v>
      </c>
      <c r="I16" s="144" t="e">
        <f>SUM(#REF!)/1000</f>
        <v>#REF!</v>
      </c>
      <c r="J16" s="144" t="e">
        <f>+C16-D16-I16</f>
        <v>#REF!</v>
      </c>
      <c r="K16" s="144" t="e">
        <f>+J16+H16</f>
        <v>#REF!</v>
      </c>
      <c r="L16" s="144" t="s">
        <v>149</v>
      </c>
      <c r="M16" s="119">
        <v>20037</v>
      </c>
      <c r="N16" s="140" t="b">
        <f t="shared" si="0"/>
        <v>1</v>
      </c>
    </row>
    <row r="17" spans="2:14">
      <c r="B17" s="127" t="s">
        <v>17</v>
      </c>
      <c r="C17" s="117">
        <v>-12041</v>
      </c>
      <c r="D17" s="117">
        <v>-8627</v>
      </c>
      <c r="E17" s="150">
        <v>12040782.17</v>
      </c>
      <c r="F17" s="150"/>
      <c r="G17" s="153" t="e">
        <f>SUM(#REF!)/1000</f>
        <v>#REF!</v>
      </c>
      <c r="H17" s="153" t="e">
        <f>+G17-C17</f>
        <v>#REF!</v>
      </c>
      <c r="I17" s="144" t="e">
        <f>SUM(#REF!)/1000</f>
        <v>#REF!</v>
      </c>
      <c r="J17" s="144" t="e">
        <f>+C17-D17-I17</f>
        <v>#REF!</v>
      </c>
      <c r="K17" s="144" t="e">
        <f>+J17+H17</f>
        <v>#REF!</v>
      </c>
      <c r="L17" s="144" t="s">
        <v>149</v>
      </c>
      <c r="M17" s="119">
        <v>-8627</v>
      </c>
      <c r="N17" s="140" t="b">
        <f t="shared" si="0"/>
        <v>1</v>
      </c>
    </row>
    <row r="18" spans="2:14" ht="19.8">
      <c r="B18" s="128" t="s">
        <v>18</v>
      </c>
      <c r="C18" s="129">
        <v>-1074</v>
      </c>
      <c r="D18" s="129">
        <v>-677</v>
      </c>
      <c r="E18" s="150"/>
      <c r="F18" s="150"/>
      <c r="H18" s="153" t="s">
        <v>144</v>
      </c>
      <c r="M18" s="129">
        <v>-677</v>
      </c>
      <c r="N18" s="140" t="b">
        <f t="shared" si="0"/>
        <v>1</v>
      </c>
    </row>
    <row r="19" spans="2:14">
      <c r="B19" s="127" t="s">
        <v>19</v>
      </c>
      <c r="C19" s="117">
        <v>-1031</v>
      </c>
      <c r="D19" s="117">
        <v>-683</v>
      </c>
      <c r="E19" s="154" t="b">
        <f>+D19+'rachunek wyniku'!C25=C19</f>
        <v>1</v>
      </c>
      <c r="F19" s="154"/>
      <c r="G19" s="153" t="e">
        <f>(#REF!+#REF!+#REF!)/1000</f>
        <v>#REF!</v>
      </c>
      <c r="H19" s="153" t="e">
        <f>+G19-D19</f>
        <v>#REF!</v>
      </c>
      <c r="M19" s="117">
        <v>-683</v>
      </c>
      <c r="N19" s="140" t="b">
        <f t="shared" si="0"/>
        <v>1</v>
      </c>
    </row>
    <row r="20" spans="2:14">
      <c r="B20" s="127" t="s">
        <v>20</v>
      </c>
      <c r="C20" s="117">
        <v>-43</v>
      </c>
      <c r="D20" s="117">
        <v>6</v>
      </c>
      <c r="E20" s="154" t="b">
        <f>+D20+'rachunek wyniku'!C27=C20</f>
        <v>1</v>
      </c>
      <c r="F20" s="154"/>
      <c r="H20" s="153"/>
      <c r="M20" s="117">
        <v>6</v>
      </c>
      <c r="N20" s="140" t="b">
        <f t="shared" si="0"/>
        <v>1</v>
      </c>
    </row>
    <row r="21" spans="2:14">
      <c r="B21" s="128" t="s">
        <v>21</v>
      </c>
      <c r="C21" s="129">
        <v>1620</v>
      </c>
      <c r="D21" s="129">
        <v>776</v>
      </c>
      <c r="E21" s="154" t="b">
        <f>+D21+'rachunek wyniku'!C29=C21</f>
        <v>1</v>
      </c>
      <c r="F21" s="152" t="b">
        <f>'tabela glowna'!D23-'tabela glowna'!C23=C21</f>
        <v>1</v>
      </c>
      <c r="H21" s="153"/>
      <c r="M21" s="129">
        <v>776</v>
      </c>
      <c r="N21" s="140" t="b">
        <f t="shared" si="0"/>
        <v>1</v>
      </c>
    </row>
    <row r="22" spans="2:14">
      <c r="B22" s="128" t="s">
        <v>22</v>
      </c>
      <c r="C22" s="129">
        <v>11486</v>
      </c>
      <c r="D22" s="129">
        <v>11509</v>
      </c>
      <c r="E22" s="154" t="b">
        <f>+C22=C14</f>
        <v>1</v>
      </c>
      <c r="F22" s="154"/>
      <c r="H22" s="154"/>
      <c r="M22" s="129">
        <v>11509</v>
      </c>
      <c r="N22" s="140" t="b">
        <f t="shared" si="0"/>
        <v>1</v>
      </c>
    </row>
    <row r="23" spans="2:14">
      <c r="B23" s="128"/>
      <c r="C23" s="155"/>
      <c r="D23" s="155"/>
      <c r="F23" s="149"/>
      <c r="H23" s="149"/>
      <c r="M23" s="155"/>
      <c r="N23" s="140" t="b">
        <f t="shared" si="0"/>
        <v>1</v>
      </c>
    </row>
    <row r="24" spans="2:14">
      <c r="B24" s="116" t="s">
        <v>23</v>
      </c>
      <c r="C24" s="156">
        <v>96680.437999999995</v>
      </c>
      <c r="D24" s="156">
        <v>100575.88499999999</v>
      </c>
      <c r="E24" s="149"/>
      <c r="F24" s="149"/>
      <c r="H24" s="149"/>
      <c r="M24" s="157">
        <v>100575.88499999999</v>
      </c>
      <c r="N24" s="140" t="b">
        <f t="shared" si="0"/>
        <v>1</v>
      </c>
    </row>
    <row r="25" spans="2:14">
      <c r="B25" s="127" t="s">
        <v>24</v>
      </c>
      <c r="C25" s="156">
        <v>96009.327999999994</v>
      </c>
      <c r="D25" s="156">
        <v>100413.565</v>
      </c>
      <c r="E25" s="149"/>
      <c r="F25" s="158"/>
      <c r="H25" s="149"/>
      <c r="M25" s="157">
        <v>100413.565</v>
      </c>
      <c r="N25" s="140" t="b">
        <f t="shared" si="0"/>
        <v>1</v>
      </c>
    </row>
    <row r="26" spans="2:14">
      <c r="B26" s="127" t="s">
        <v>25</v>
      </c>
      <c r="C26" s="156">
        <v>34.201999999999998</v>
      </c>
      <c r="D26" s="156">
        <v>162.32</v>
      </c>
      <c r="E26" s="149"/>
      <c r="F26" s="159"/>
      <c r="H26" s="149"/>
      <c r="M26" s="157">
        <v>162.32</v>
      </c>
      <c r="N26" s="140" t="b">
        <f t="shared" si="0"/>
        <v>1</v>
      </c>
    </row>
    <row r="27" spans="2:14">
      <c r="B27" s="127" t="s">
        <v>26</v>
      </c>
      <c r="C27" s="156">
        <v>546.81299999999999</v>
      </c>
      <c r="D27" s="111">
        <v>0</v>
      </c>
      <c r="E27" s="149"/>
      <c r="F27" s="159"/>
      <c r="H27" s="149"/>
      <c r="M27" s="136">
        <v>0</v>
      </c>
      <c r="N27" s="140" t="b">
        <f t="shared" si="0"/>
        <v>1</v>
      </c>
    </row>
    <row r="28" spans="2:14">
      <c r="B28" s="127" t="s">
        <v>27</v>
      </c>
      <c r="C28" s="156">
        <v>90.094999999999999</v>
      </c>
      <c r="D28" s="111">
        <v>0</v>
      </c>
      <c r="E28" s="149"/>
      <c r="F28" s="159"/>
      <c r="H28" s="149"/>
      <c r="M28" s="124">
        <v>0</v>
      </c>
      <c r="N28" s="140" t="b">
        <f t="shared" si="0"/>
        <v>1</v>
      </c>
    </row>
    <row r="29" spans="2:14">
      <c r="B29" s="116" t="s">
        <v>28</v>
      </c>
      <c r="C29" s="136"/>
      <c r="D29" s="136"/>
      <c r="M29" s="124">
        <v>0</v>
      </c>
      <c r="N29" s="140" t="b">
        <f t="shared" si="0"/>
        <v>1</v>
      </c>
    </row>
    <row r="30" spans="2:14">
      <c r="B30" s="127" t="s">
        <v>24</v>
      </c>
      <c r="C30" s="136">
        <v>118.79</v>
      </c>
      <c r="D30" s="136">
        <v>114.43</v>
      </c>
      <c r="M30" s="136">
        <v>114.43</v>
      </c>
      <c r="N30" s="140" t="b">
        <f t="shared" si="0"/>
        <v>1</v>
      </c>
    </row>
    <row r="31" spans="2:14">
      <c r="B31" s="127" t="s">
        <v>25</v>
      </c>
      <c r="C31" s="136">
        <v>122.32</v>
      </c>
      <c r="D31" s="136">
        <v>115.73</v>
      </c>
      <c r="M31" s="136">
        <v>115.73</v>
      </c>
      <c r="N31" s="140" t="b">
        <f t="shared" si="0"/>
        <v>1</v>
      </c>
    </row>
    <row r="32" spans="2:14">
      <c r="B32" s="127" t="s">
        <v>26</v>
      </c>
      <c r="C32" s="136">
        <v>120.25</v>
      </c>
      <c r="D32" s="111">
        <v>0</v>
      </c>
    </row>
    <row r="33" spans="2:4">
      <c r="B33" s="127" t="s">
        <v>27</v>
      </c>
      <c r="C33" s="136">
        <v>119.01</v>
      </c>
      <c r="D33" s="111">
        <v>0</v>
      </c>
    </row>
  </sheetData>
  <pageMargins left="0.7" right="0.7" top="0.75" bottom="0.75" header="0.3" footer="0.3"/>
  <pageSetup paperSize="9" orientation="portrait" r:id="rId1"/>
  <ignoredErrors>
    <ignoredError sqref="G17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19" workbookViewId="0">
      <selection activeCell="G7" sqref="G7"/>
    </sheetView>
  </sheetViews>
  <sheetFormatPr defaultColWidth="9" defaultRowHeight="13.8"/>
  <cols>
    <col min="1" max="1" width="9" style="113"/>
    <col min="2" max="2" width="53.09765625" style="113" customWidth="1"/>
    <col min="3" max="4" width="15.59765625" style="113" customWidth="1"/>
    <col min="5" max="16384" width="9" style="113"/>
  </cols>
  <sheetData>
    <row r="1" spans="2:4">
      <c r="C1" s="168" t="s">
        <v>161</v>
      </c>
      <c r="D1" s="168" t="s">
        <v>159</v>
      </c>
    </row>
    <row r="2" spans="2:4" ht="19.2">
      <c r="B2" s="133" t="s">
        <v>62</v>
      </c>
      <c r="C2" s="133" t="s">
        <v>63</v>
      </c>
      <c r="D2" s="133" t="s">
        <v>64</v>
      </c>
    </row>
    <row r="3" spans="2:4">
      <c r="B3" s="120" t="s">
        <v>65</v>
      </c>
      <c r="C3" s="121">
        <v>2</v>
      </c>
      <c r="D3" s="121">
        <v>4</v>
      </c>
    </row>
    <row r="4" spans="2:4">
      <c r="B4" s="135" t="s">
        <v>66</v>
      </c>
      <c r="C4" s="111">
        <v>0</v>
      </c>
      <c r="D4" s="111">
        <v>0</v>
      </c>
    </row>
    <row r="5" spans="2:4">
      <c r="B5" s="135" t="s">
        <v>67</v>
      </c>
      <c r="C5" s="106">
        <v>2</v>
      </c>
      <c r="D5" s="106">
        <v>4</v>
      </c>
    </row>
    <row r="6" spans="2:4">
      <c r="B6" s="135" t="s">
        <v>68</v>
      </c>
      <c r="C6" s="111">
        <v>0</v>
      </c>
      <c r="D6" s="111">
        <v>0</v>
      </c>
    </row>
    <row r="7" spans="2:4">
      <c r="B7" s="135" t="s">
        <v>69</v>
      </c>
      <c r="C7" s="111">
        <v>0</v>
      </c>
      <c r="D7" s="111">
        <v>0</v>
      </c>
    </row>
    <row r="8" spans="2:4">
      <c r="B8" s="135" t="s">
        <v>48</v>
      </c>
      <c r="C8" s="111">
        <v>0</v>
      </c>
      <c r="D8" s="111">
        <v>0</v>
      </c>
    </row>
    <row r="9" spans="2:4">
      <c r="B9" s="120" t="s">
        <v>70</v>
      </c>
      <c r="C9" s="121">
        <v>425</v>
      </c>
      <c r="D9" s="121">
        <v>440</v>
      </c>
    </row>
    <row r="10" spans="2:4">
      <c r="B10" s="135" t="s">
        <v>49</v>
      </c>
      <c r="C10" s="106">
        <v>294</v>
      </c>
      <c r="D10" s="106">
        <v>307</v>
      </c>
    </row>
    <row r="11" spans="2:4">
      <c r="B11" s="135" t="s">
        <v>50</v>
      </c>
      <c r="C11" s="111">
        <v>0</v>
      </c>
      <c r="D11" s="111">
        <v>0</v>
      </c>
    </row>
    <row r="12" spans="2:4">
      <c r="B12" s="135" t="s">
        <v>51</v>
      </c>
      <c r="C12" s="106">
        <v>48</v>
      </c>
      <c r="D12" s="106">
        <v>52</v>
      </c>
    </row>
    <row r="13" spans="2:4">
      <c r="B13" s="135" t="s">
        <v>52</v>
      </c>
      <c r="C13" s="106">
        <v>9</v>
      </c>
      <c r="D13" s="106">
        <v>11</v>
      </c>
    </row>
    <row r="14" spans="2:4">
      <c r="B14" s="135" t="s">
        <v>53</v>
      </c>
      <c r="C14" s="111">
        <v>0</v>
      </c>
      <c r="D14" s="106">
        <v>1</v>
      </c>
    </row>
    <row r="15" spans="2:4">
      <c r="B15" s="135" t="s">
        <v>54</v>
      </c>
      <c r="C15" s="106">
        <v>72</v>
      </c>
      <c r="D15" s="106">
        <v>66</v>
      </c>
    </row>
    <row r="16" spans="2:4">
      <c r="B16" s="135" t="s">
        <v>55</v>
      </c>
      <c r="C16" s="111">
        <v>0</v>
      </c>
      <c r="D16" s="111">
        <v>0</v>
      </c>
    </row>
    <row r="17" spans="2:4">
      <c r="B17" s="135" t="s">
        <v>56</v>
      </c>
      <c r="C17" s="111">
        <v>0</v>
      </c>
      <c r="D17" s="106">
        <v>1</v>
      </c>
    </row>
    <row r="18" spans="2:4">
      <c r="B18" s="135" t="s">
        <v>57</v>
      </c>
      <c r="C18" s="111">
        <v>0</v>
      </c>
      <c r="D18" s="111">
        <v>0</v>
      </c>
    </row>
    <row r="19" spans="2:4">
      <c r="B19" s="135" t="s">
        <v>58</v>
      </c>
      <c r="C19" s="111">
        <v>0</v>
      </c>
      <c r="D19" s="111">
        <v>0</v>
      </c>
    </row>
    <row r="20" spans="2:4">
      <c r="B20" s="135" t="s">
        <v>59</v>
      </c>
      <c r="C20" s="111">
        <v>0</v>
      </c>
      <c r="D20" s="111">
        <v>0</v>
      </c>
    </row>
    <row r="21" spans="2:4">
      <c r="B21" s="135" t="s">
        <v>60</v>
      </c>
      <c r="C21" s="111">
        <v>0</v>
      </c>
      <c r="D21" s="111">
        <v>0</v>
      </c>
    </row>
    <row r="22" spans="2:4">
      <c r="B22" s="135" t="s">
        <v>48</v>
      </c>
      <c r="C22" s="106">
        <v>2</v>
      </c>
      <c r="D22" s="106">
        <v>2</v>
      </c>
    </row>
    <row r="23" spans="2:4">
      <c r="B23" s="120" t="s">
        <v>71</v>
      </c>
      <c r="C23" s="106">
        <v>75</v>
      </c>
      <c r="D23" s="106">
        <v>75</v>
      </c>
    </row>
    <row r="24" spans="2:4">
      <c r="B24" s="120" t="s">
        <v>72</v>
      </c>
      <c r="C24" s="106">
        <v>350</v>
      </c>
      <c r="D24" s="106">
        <v>365</v>
      </c>
    </row>
    <row r="25" spans="2:4">
      <c r="B25" s="120" t="s">
        <v>73</v>
      </c>
      <c r="C25" s="106">
        <v>-348</v>
      </c>
      <c r="D25" s="106">
        <v>-361</v>
      </c>
    </row>
    <row r="26" spans="2:4">
      <c r="B26" s="120" t="s">
        <v>74</v>
      </c>
      <c r="C26" s="106">
        <v>795</v>
      </c>
      <c r="D26" s="106">
        <v>-874</v>
      </c>
    </row>
    <row r="27" spans="2:4">
      <c r="B27" s="135" t="s">
        <v>75</v>
      </c>
      <c r="C27" s="106">
        <v>-49</v>
      </c>
      <c r="D27" s="111">
        <v>0</v>
      </c>
    </row>
    <row r="28" spans="2:4">
      <c r="B28" s="147" t="s">
        <v>76</v>
      </c>
      <c r="C28" s="111">
        <v>0</v>
      </c>
      <c r="D28" s="111">
        <v>0</v>
      </c>
    </row>
    <row r="29" spans="2:4">
      <c r="B29" s="135" t="s">
        <v>77</v>
      </c>
      <c r="C29" s="106">
        <v>844</v>
      </c>
      <c r="D29" s="106">
        <v>-874</v>
      </c>
    </row>
    <row r="30" spans="2:4">
      <c r="B30" s="147" t="s">
        <v>76</v>
      </c>
      <c r="C30" s="111">
        <v>0</v>
      </c>
      <c r="D30" s="111">
        <v>0</v>
      </c>
    </row>
    <row r="31" spans="2:4">
      <c r="B31" s="120" t="s">
        <v>78</v>
      </c>
      <c r="C31" s="106">
        <v>447</v>
      </c>
      <c r="D31" s="106">
        <v>-1235</v>
      </c>
    </row>
    <row r="32" spans="2:4">
      <c r="B32" s="116" t="s">
        <v>79</v>
      </c>
      <c r="C32" s="136"/>
      <c r="D32" s="136"/>
    </row>
    <row r="33" spans="2:4">
      <c r="B33" s="147" t="s">
        <v>24</v>
      </c>
      <c r="C33" s="148">
        <v>4.6100000000000003</v>
      </c>
      <c r="D33" s="148">
        <v>-12.28</v>
      </c>
    </row>
    <row r="34" spans="2:4">
      <c r="B34" s="147" t="s">
        <v>25</v>
      </c>
      <c r="C34" s="148">
        <v>5.16</v>
      </c>
      <c r="D34" s="148">
        <v>-9.4499999999999993</v>
      </c>
    </row>
    <row r="35" spans="2:4">
      <c r="B35" s="147" t="s">
        <v>26</v>
      </c>
      <c r="C35" s="148">
        <v>7.57</v>
      </c>
      <c r="D35" s="148" t="s">
        <v>0</v>
      </c>
    </row>
    <row r="36" spans="2:4">
      <c r="B36" s="147" t="s">
        <v>27</v>
      </c>
      <c r="C36" s="148">
        <v>7.23</v>
      </c>
      <c r="D36" s="148" t="s">
        <v>0</v>
      </c>
    </row>
    <row r="37" spans="2:4" s="124" customFormat="1" ht="9.6"/>
    <row r="38" spans="2:4" s="124" customFormat="1" ht="9.6"/>
    <row r="39" spans="2:4" s="124" customFormat="1" ht="9.6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opLeftCell="A63" workbookViewId="0">
      <selection activeCell="B2" sqref="B2:F93"/>
    </sheetView>
  </sheetViews>
  <sheetFormatPr defaultRowHeight="13.8" outlineLevelRow="1"/>
  <cols>
    <col min="1" max="1" width="3.5" customWidth="1"/>
    <col min="2" max="2" width="58.59765625" customWidth="1"/>
    <col min="3" max="6" width="7.3984375" customWidth="1"/>
    <col min="7" max="7" width="11" style="75" customWidth="1"/>
    <col min="8" max="8" width="6.59765625" style="67" bestFit="1" customWidth="1"/>
    <col min="9" max="9" width="6.59765625" style="67" customWidth="1"/>
    <col min="10" max="10" width="6" style="67" customWidth="1"/>
    <col min="11" max="11" width="6" style="27" bestFit="1" customWidth="1"/>
    <col min="12" max="12" width="6" style="38" bestFit="1" customWidth="1"/>
    <col min="13" max="13" width="9.09765625" style="32" bestFit="1" customWidth="1"/>
    <col min="14" max="14" width="24.19921875" style="47" customWidth="1"/>
    <col min="15" max="15" width="8.69921875" customWidth="1"/>
    <col min="16" max="16" width="6.59765625" customWidth="1"/>
    <col min="17" max="17" width="9" style="14"/>
    <col min="21" max="21" width="10.09765625" bestFit="1" customWidth="1"/>
    <col min="22" max="22" width="6.19921875" bestFit="1" customWidth="1"/>
    <col min="23" max="23" width="4.59765625" bestFit="1" customWidth="1"/>
    <col min="24" max="24" width="42.5" customWidth="1"/>
  </cols>
  <sheetData>
    <row r="1" spans="2:26" ht="14.4" thickBot="1">
      <c r="K1" s="176" t="s">
        <v>155</v>
      </c>
      <c r="L1" s="177"/>
      <c r="M1" s="177"/>
      <c r="N1" s="177"/>
      <c r="O1" s="177"/>
      <c r="P1" s="178"/>
    </row>
    <row r="2" spans="2:26" ht="20.25" customHeight="1">
      <c r="B2" s="10" t="s">
        <v>122</v>
      </c>
      <c r="C2" s="207" t="s">
        <v>63</v>
      </c>
      <c r="D2" s="207"/>
      <c r="E2" s="207" t="s">
        <v>64</v>
      </c>
      <c r="F2" s="207"/>
      <c r="G2" s="76"/>
      <c r="H2" s="58"/>
      <c r="I2" s="58"/>
      <c r="J2" s="58"/>
      <c r="K2" s="25"/>
      <c r="L2" s="28"/>
      <c r="M2" s="28"/>
      <c r="N2" s="74" t="s">
        <v>122</v>
      </c>
      <c r="O2" s="208" t="s">
        <v>64</v>
      </c>
      <c r="P2" s="208"/>
      <c r="X2" s="39" t="s">
        <v>122</v>
      </c>
      <c r="Y2" s="226" t="s">
        <v>46</v>
      </c>
      <c r="Z2" s="226"/>
    </row>
    <row r="3" spans="2:26">
      <c r="B3" s="3" t="s">
        <v>1</v>
      </c>
      <c r="C3" s="209">
        <f>+C17</f>
        <v>-22</v>
      </c>
      <c r="D3" s="209"/>
      <c r="E3" s="209">
        <f>+E17</f>
        <v>1326</v>
      </c>
      <c r="F3" s="209"/>
      <c r="G3" s="77"/>
      <c r="H3" s="59"/>
      <c r="I3" s="59"/>
      <c r="J3" s="59"/>
      <c r="K3" s="29" t="b">
        <f>N3=B3</f>
        <v>1</v>
      </c>
      <c r="L3" s="72" t="b">
        <f t="shared" ref="L3:L26" si="0">O3=E3</f>
        <v>1</v>
      </c>
      <c r="M3" s="69">
        <f t="shared" ref="M3:M19" si="1">+O3-E3</f>
        <v>0</v>
      </c>
      <c r="N3" s="48" t="s">
        <v>1</v>
      </c>
      <c r="O3" s="210">
        <v>1326</v>
      </c>
      <c r="P3" s="211"/>
      <c r="X3" s="40" t="s">
        <v>1</v>
      </c>
      <c r="Y3" s="210">
        <v>1326</v>
      </c>
      <c r="Z3" s="211"/>
    </row>
    <row r="4" spans="2:26" ht="19.2">
      <c r="B4" s="1" t="s">
        <v>123</v>
      </c>
      <c r="C4" s="194">
        <v>11509</v>
      </c>
      <c r="D4" s="194"/>
      <c r="E4" s="194">
        <v>10183</v>
      </c>
      <c r="F4" s="194"/>
      <c r="G4" s="34">
        <f>+bilans!D14</f>
        <v>11509</v>
      </c>
      <c r="H4" s="59" t="b">
        <f t="shared" ref="H4:H9" si="2">G4=C4</f>
        <v>1</v>
      </c>
      <c r="I4" s="59"/>
      <c r="J4" s="59"/>
      <c r="K4" s="29" t="b">
        <f t="shared" ref="K4:K67" si="3">N4=B4</f>
        <v>1</v>
      </c>
      <c r="L4" s="72" t="b">
        <f t="shared" si="0"/>
        <v>1</v>
      </c>
      <c r="M4" s="69">
        <f t="shared" si="1"/>
        <v>0</v>
      </c>
      <c r="N4" s="49" t="s">
        <v>123</v>
      </c>
      <c r="O4" s="191">
        <v>10183</v>
      </c>
      <c r="P4" s="191"/>
      <c r="X4" s="41" t="s">
        <v>123</v>
      </c>
      <c r="Y4" s="191">
        <v>10183</v>
      </c>
      <c r="Z4" s="191"/>
    </row>
    <row r="5" spans="2:26">
      <c r="B5" s="1" t="s">
        <v>124</v>
      </c>
      <c r="C5" s="194">
        <v>448</v>
      </c>
      <c r="D5" s="194"/>
      <c r="E5" s="194">
        <v>-1235</v>
      </c>
      <c r="F5" s="194"/>
      <c r="G5" s="34">
        <f>+'rachunek wyniku'!C31</f>
        <v>447</v>
      </c>
      <c r="H5" s="59" t="b">
        <f t="shared" si="2"/>
        <v>0</v>
      </c>
      <c r="I5" s="59"/>
      <c r="J5" s="59"/>
      <c r="K5" s="29" t="b">
        <f t="shared" si="3"/>
        <v>1</v>
      </c>
      <c r="L5" s="72" t="b">
        <f t="shared" si="0"/>
        <v>1</v>
      </c>
      <c r="M5" s="69">
        <f t="shared" si="1"/>
        <v>0</v>
      </c>
      <c r="N5" s="49" t="s">
        <v>124</v>
      </c>
      <c r="O5" s="191">
        <v>-1235</v>
      </c>
      <c r="P5" s="191"/>
      <c r="X5" s="41" t="s">
        <v>124</v>
      </c>
      <c r="Y5" s="191">
        <v>-1235</v>
      </c>
      <c r="Z5" s="191"/>
    </row>
    <row r="6" spans="2:26">
      <c r="B6" s="2" t="s">
        <v>125</v>
      </c>
      <c r="C6" s="190">
        <f>+'rachunek wyniku'!C25</f>
        <v>-348</v>
      </c>
      <c r="D6" s="190"/>
      <c r="E6" s="194">
        <v>-361</v>
      </c>
      <c r="F6" s="194"/>
      <c r="G6" s="34">
        <f>+'rachunek wyniku'!C25</f>
        <v>-348</v>
      </c>
      <c r="H6" s="59" t="b">
        <f t="shared" si="2"/>
        <v>1</v>
      </c>
      <c r="I6" s="59"/>
      <c r="J6" s="59"/>
      <c r="K6" s="29" t="b">
        <f t="shared" si="3"/>
        <v>1</v>
      </c>
      <c r="L6" s="72" t="b">
        <f t="shared" si="0"/>
        <v>1</v>
      </c>
      <c r="M6" s="69">
        <f t="shared" si="1"/>
        <v>0</v>
      </c>
      <c r="N6" s="49" t="s">
        <v>125</v>
      </c>
      <c r="O6" s="191">
        <v>-361</v>
      </c>
      <c r="P6" s="191"/>
      <c r="X6" s="42" t="s">
        <v>125</v>
      </c>
      <c r="Y6" s="191">
        <v>-361</v>
      </c>
      <c r="Z6" s="191"/>
    </row>
    <row r="7" spans="2:26">
      <c r="B7" s="2" t="s">
        <v>126</v>
      </c>
      <c r="C7" s="194">
        <v>-49</v>
      </c>
      <c r="D7" s="194"/>
      <c r="E7" s="188">
        <v>0</v>
      </c>
      <c r="F7" s="188"/>
      <c r="G7" s="34">
        <f>+'rachunek wyniku'!C27</f>
        <v>-49</v>
      </c>
      <c r="H7" s="59" t="b">
        <f t="shared" si="2"/>
        <v>1</v>
      </c>
      <c r="I7" s="59"/>
      <c r="J7" s="59"/>
      <c r="K7" s="29" t="b">
        <f t="shared" si="3"/>
        <v>1</v>
      </c>
      <c r="L7" s="72" t="b">
        <f t="shared" si="0"/>
        <v>1</v>
      </c>
      <c r="M7" s="69">
        <f t="shared" si="1"/>
        <v>0</v>
      </c>
      <c r="N7" s="49" t="s">
        <v>126</v>
      </c>
      <c r="O7" s="183">
        <v>0</v>
      </c>
      <c r="P7" s="183"/>
      <c r="X7" s="42" t="s">
        <v>126</v>
      </c>
      <c r="Y7" s="191" t="s">
        <v>0</v>
      </c>
      <c r="Z7" s="191"/>
    </row>
    <row r="8" spans="2:26">
      <c r="B8" s="2" t="s">
        <v>127</v>
      </c>
      <c r="C8" s="194">
        <v>844</v>
      </c>
      <c r="D8" s="194"/>
      <c r="E8" s="194">
        <v>-874</v>
      </c>
      <c r="F8" s="194"/>
      <c r="G8" s="34">
        <f>+'rachunek wyniku'!C29</f>
        <v>844</v>
      </c>
      <c r="H8" s="59" t="b">
        <f t="shared" si="2"/>
        <v>1</v>
      </c>
      <c r="I8" s="59"/>
      <c r="J8" s="59"/>
      <c r="K8" s="29" t="b">
        <f t="shared" si="3"/>
        <v>1</v>
      </c>
      <c r="L8" s="72" t="b">
        <f t="shared" si="0"/>
        <v>1</v>
      </c>
      <c r="M8" s="69">
        <f t="shared" si="1"/>
        <v>0</v>
      </c>
      <c r="N8" s="49" t="s">
        <v>127</v>
      </c>
      <c r="O8" s="191">
        <v>-874</v>
      </c>
      <c r="P8" s="191"/>
      <c r="X8" s="42" t="s">
        <v>127</v>
      </c>
      <c r="Y8" s="191">
        <v>-874</v>
      </c>
      <c r="Z8" s="191"/>
    </row>
    <row r="9" spans="2:26">
      <c r="B9" s="1" t="s">
        <v>128</v>
      </c>
      <c r="C9" s="194">
        <v>448</v>
      </c>
      <c r="D9" s="194"/>
      <c r="E9" s="194">
        <v>-1235</v>
      </c>
      <c r="F9" s="194"/>
      <c r="G9" s="34">
        <f>'rachunek wyniku'!C31</f>
        <v>447</v>
      </c>
      <c r="H9" s="59" t="b">
        <f t="shared" si="2"/>
        <v>0</v>
      </c>
      <c r="I9" s="59"/>
      <c r="J9" s="59"/>
      <c r="K9" s="29" t="b">
        <f t="shared" si="3"/>
        <v>1</v>
      </c>
      <c r="L9" s="72" t="b">
        <f t="shared" si="0"/>
        <v>1</v>
      </c>
      <c r="M9" s="69">
        <f t="shared" si="1"/>
        <v>0</v>
      </c>
      <c r="N9" s="49" t="s">
        <v>128</v>
      </c>
      <c r="O9" s="191">
        <v>-1235</v>
      </c>
      <c r="P9" s="191"/>
      <c r="X9" s="41" t="s">
        <v>128</v>
      </c>
      <c r="Y9" s="191">
        <v>-1235</v>
      </c>
      <c r="Z9" s="191"/>
    </row>
    <row r="10" spans="2:26">
      <c r="B10" s="1" t="s">
        <v>129</v>
      </c>
      <c r="C10" s="194" t="s">
        <v>0</v>
      </c>
      <c r="D10" s="194"/>
      <c r="E10" s="188">
        <v>0</v>
      </c>
      <c r="F10" s="188"/>
      <c r="G10" s="34"/>
      <c r="H10" s="59"/>
      <c r="I10" s="59"/>
      <c r="J10" s="59"/>
      <c r="K10" s="29" t="b">
        <f t="shared" si="3"/>
        <v>1</v>
      </c>
      <c r="L10" s="72" t="b">
        <f t="shared" si="0"/>
        <v>1</v>
      </c>
      <c r="M10" s="69">
        <f t="shared" si="1"/>
        <v>0</v>
      </c>
      <c r="N10" s="49" t="s">
        <v>129</v>
      </c>
      <c r="O10" s="183">
        <v>0</v>
      </c>
      <c r="P10" s="183"/>
      <c r="X10" s="41" t="s">
        <v>129</v>
      </c>
      <c r="Y10" s="191" t="s">
        <v>0</v>
      </c>
      <c r="Z10" s="191"/>
    </row>
    <row r="11" spans="2:26">
      <c r="B11" s="2" t="s">
        <v>130</v>
      </c>
      <c r="C11" s="194" t="s">
        <v>0</v>
      </c>
      <c r="D11" s="194"/>
      <c r="E11" s="188">
        <v>0</v>
      </c>
      <c r="F11" s="188"/>
      <c r="G11" s="34"/>
      <c r="H11" s="59"/>
      <c r="I11" s="59"/>
      <c r="J11" s="59"/>
      <c r="K11" s="29" t="b">
        <f t="shared" si="3"/>
        <v>1</v>
      </c>
      <c r="L11" s="72" t="b">
        <f t="shared" si="0"/>
        <v>1</v>
      </c>
      <c r="M11" s="69">
        <f t="shared" si="1"/>
        <v>0</v>
      </c>
      <c r="N11" s="49" t="s">
        <v>130</v>
      </c>
      <c r="O11" s="183">
        <v>0</v>
      </c>
      <c r="P11" s="183"/>
      <c r="X11" s="42" t="s">
        <v>130</v>
      </c>
      <c r="Y11" s="191" t="s">
        <v>0</v>
      </c>
      <c r="Z11" s="191"/>
    </row>
    <row r="12" spans="2:26">
      <c r="B12" s="2" t="s">
        <v>131</v>
      </c>
      <c r="C12" s="194" t="s">
        <v>0</v>
      </c>
      <c r="D12" s="194"/>
      <c r="E12" s="188">
        <v>0</v>
      </c>
      <c r="F12" s="188"/>
      <c r="G12" s="34"/>
      <c r="H12" s="59"/>
      <c r="I12" s="59"/>
      <c r="J12" s="59"/>
      <c r="K12" s="29" t="b">
        <f t="shared" si="3"/>
        <v>1</v>
      </c>
      <c r="L12" s="72" t="b">
        <f t="shared" si="0"/>
        <v>1</v>
      </c>
      <c r="M12" s="69">
        <f t="shared" si="1"/>
        <v>0</v>
      </c>
      <c r="N12" s="49" t="s">
        <v>131</v>
      </c>
      <c r="O12" s="183">
        <v>0</v>
      </c>
      <c r="P12" s="183"/>
      <c r="X12" s="42" t="s">
        <v>131</v>
      </c>
      <c r="Y12" s="191" t="s">
        <v>0</v>
      </c>
      <c r="Z12" s="191"/>
    </row>
    <row r="13" spans="2:26">
      <c r="B13" s="2" t="s">
        <v>132</v>
      </c>
      <c r="C13" s="194" t="s">
        <v>0</v>
      </c>
      <c r="D13" s="194"/>
      <c r="E13" s="188">
        <v>0</v>
      </c>
      <c r="F13" s="188"/>
      <c r="G13" s="34"/>
      <c r="H13" s="59"/>
      <c r="I13" s="59"/>
      <c r="J13" s="59"/>
      <c r="K13" s="29" t="b">
        <f t="shared" si="3"/>
        <v>1</v>
      </c>
      <c r="L13" s="72" t="b">
        <f t="shared" si="0"/>
        <v>1</v>
      </c>
      <c r="M13" s="69">
        <f t="shared" si="1"/>
        <v>0</v>
      </c>
      <c r="N13" s="49" t="s">
        <v>132</v>
      </c>
      <c r="O13" s="183">
        <v>0</v>
      </c>
      <c r="P13" s="183"/>
      <c r="X13" s="42" t="s">
        <v>132</v>
      </c>
      <c r="Y13" s="191" t="s">
        <v>0</v>
      </c>
      <c r="Z13" s="191"/>
    </row>
    <row r="14" spans="2:26">
      <c r="B14" s="1" t="s">
        <v>133</v>
      </c>
      <c r="C14" s="194">
        <v>-470</v>
      </c>
      <c r="D14" s="194"/>
      <c r="E14" s="194">
        <v>2561</v>
      </c>
      <c r="F14" s="194"/>
      <c r="G14" s="34">
        <f>+G15+G16</f>
        <v>-470</v>
      </c>
      <c r="H14" s="59" t="b">
        <f t="shared" ref="H14:H19" si="4">G14=C14</f>
        <v>1</v>
      </c>
      <c r="I14" s="59"/>
      <c r="J14" s="59"/>
      <c r="K14" s="29" t="b">
        <f t="shared" si="3"/>
        <v>1</v>
      </c>
      <c r="L14" s="72" t="b">
        <f t="shared" si="0"/>
        <v>1</v>
      </c>
      <c r="M14" s="69">
        <f t="shared" si="1"/>
        <v>0</v>
      </c>
      <c r="N14" s="49" t="s">
        <v>133</v>
      </c>
      <c r="O14" s="191">
        <v>2561</v>
      </c>
      <c r="P14" s="191"/>
      <c r="R14" s="14"/>
      <c r="S14" s="14">
        <v>2018</v>
      </c>
      <c r="X14" s="41" t="s">
        <v>133</v>
      </c>
      <c r="Y14" s="191">
        <v>2561</v>
      </c>
      <c r="Z14" s="191"/>
    </row>
    <row r="15" spans="2:26">
      <c r="B15" s="2" t="s">
        <v>134</v>
      </c>
      <c r="C15" s="190">
        <f>+bilans!C16-bilans!D16</f>
        <v>2944</v>
      </c>
      <c r="D15" s="190"/>
      <c r="E15" s="190">
        <f>8351+5</f>
        <v>8356</v>
      </c>
      <c r="F15" s="190"/>
      <c r="G15" s="34">
        <f>+bilans!C16-bilans!D16</f>
        <v>2944</v>
      </c>
      <c r="H15" s="59" t="b">
        <f t="shared" si="4"/>
        <v>1</v>
      </c>
      <c r="I15" s="59"/>
      <c r="J15" s="59"/>
      <c r="K15" s="29" t="b">
        <f t="shared" si="3"/>
        <v>1</v>
      </c>
      <c r="L15" s="72" t="b">
        <f t="shared" si="0"/>
        <v>1</v>
      </c>
      <c r="M15" s="69">
        <f t="shared" si="1"/>
        <v>0</v>
      </c>
      <c r="N15" s="49" t="s">
        <v>134</v>
      </c>
      <c r="O15" s="191">
        <v>8356</v>
      </c>
      <c r="P15" s="191"/>
      <c r="Q15" s="24">
        <f>+E15-O15</f>
        <v>0</v>
      </c>
      <c r="R15" s="14"/>
      <c r="S15" s="17">
        <f>+bilans!D16</f>
        <v>20037</v>
      </c>
      <c r="X15" s="42" t="s">
        <v>134</v>
      </c>
      <c r="Y15" s="191">
        <v>8356</v>
      </c>
      <c r="Z15" s="191"/>
    </row>
    <row r="16" spans="2:26">
      <c r="B16" s="2" t="s">
        <v>135</v>
      </c>
      <c r="C16" s="190">
        <f>+bilans!C17-bilans!D17</f>
        <v>-3414</v>
      </c>
      <c r="D16" s="190"/>
      <c r="E16" s="190">
        <f>-5790-5</f>
        <v>-5795</v>
      </c>
      <c r="F16" s="190"/>
      <c r="G16" s="34">
        <f>+bilans!C17-bilans!D17</f>
        <v>-3414</v>
      </c>
      <c r="H16" s="59" t="b">
        <f t="shared" si="4"/>
        <v>1</v>
      </c>
      <c r="I16" s="59"/>
      <c r="J16" s="59"/>
      <c r="K16" s="29" t="b">
        <f t="shared" si="3"/>
        <v>1</v>
      </c>
      <c r="L16" s="72" t="b">
        <f t="shared" si="0"/>
        <v>1</v>
      </c>
      <c r="M16" s="69">
        <f t="shared" si="1"/>
        <v>0</v>
      </c>
      <c r="N16" s="49" t="s">
        <v>135</v>
      </c>
      <c r="O16" s="191">
        <v>-5795</v>
      </c>
      <c r="P16" s="191"/>
      <c r="Q16" s="24">
        <f>+E16-O16</f>
        <v>0</v>
      </c>
      <c r="R16" s="14"/>
      <c r="S16" s="17">
        <f>+bilans!D17</f>
        <v>-8627</v>
      </c>
      <c r="X16" s="42" t="s">
        <v>135</v>
      </c>
      <c r="Y16" s="191">
        <v>-5795</v>
      </c>
      <c r="Z16" s="191"/>
    </row>
    <row r="17" spans="2:26">
      <c r="B17" s="1" t="s">
        <v>136</v>
      </c>
      <c r="C17" s="194">
        <v>-22</v>
      </c>
      <c r="D17" s="194"/>
      <c r="E17" s="194">
        <v>1326</v>
      </c>
      <c r="F17" s="194"/>
      <c r="G17" s="34">
        <f>+G9-G10+G14</f>
        <v>-23</v>
      </c>
      <c r="H17" s="59" t="b">
        <f t="shared" si="4"/>
        <v>0</v>
      </c>
      <c r="I17" s="59"/>
      <c r="J17" s="59"/>
      <c r="K17" s="29" t="b">
        <f t="shared" si="3"/>
        <v>1</v>
      </c>
      <c r="L17" s="72" t="b">
        <f t="shared" si="0"/>
        <v>1</v>
      </c>
      <c r="M17" s="69">
        <f t="shared" si="1"/>
        <v>0</v>
      </c>
      <c r="N17" s="49" t="s">
        <v>136</v>
      </c>
      <c r="O17" s="191">
        <v>1326</v>
      </c>
      <c r="P17" s="191"/>
      <c r="R17" s="14"/>
      <c r="S17" s="14"/>
      <c r="X17" s="41" t="s">
        <v>136</v>
      </c>
      <c r="Y17" s="191">
        <v>1326</v>
      </c>
      <c r="Z17" s="191"/>
    </row>
    <row r="18" spans="2:26">
      <c r="B18" s="1" t="s">
        <v>137</v>
      </c>
      <c r="C18" s="190">
        <f>+bilans!C14</f>
        <v>11486</v>
      </c>
      <c r="D18" s="190"/>
      <c r="E18" s="194">
        <v>11509</v>
      </c>
      <c r="F18" s="194"/>
      <c r="G18" s="34">
        <f>+bilans!C14</f>
        <v>11486</v>
      </c>
      <c r="H18" s="59" t="b">
        <f t="shared" si="4"/>
        <v>1</v>
      </c>
      <c r="I18" s="59"/>
      <c r="J18" s="59"/>
      <c r="K18" s="29" t="b">
        <f t="shared" si="3"/>
        <v>1</v>
      </c>
      <c r="L18" s="72" t="b">
        <f t="shared" si="0"/>
        <v>1</v>
      </c>
      <c r="M18" s="69">
        <f t="shared" si="1"/>
        <v>0</v>
      </c>
      <c r="N18" s="49" t="s">
        <v>137</v>
      </c>
      <c r="O18" s="191">
        <v>11509</v>
      </c>
      <c r="P18" s="191"/>
      <c r="R18" s="14"/>
      <c r="S18" s="14"/>
      <c r="X18" s="41" t="s">
        <v>137</v>
      </c>
      <c r="Y18" s="191">
        <v>11509</v>
      </c>
      <c r="Z18" s="191"/>
    </row>
    <row r="19" spans="2:26">
      <c r="B19" s="1" t="s">
        <v>138</v>
      </c>
      <c r="C19" s="190">
        <f>3+11610</f>
        <v>11613</v>
      </c>
      <c r="D19" s="190"/>
      <c r="E19" s="190">
        <f>-1+12151</f>
        <v>12150</v>
      </c>
      <c r="F19" s="190"/>
      <c r="G19" s="34" t="e">
        <f>ROUND(#REF!/1000,0)</f>
        <v>#REF!</v>
      </c>
      <c r="H19" s="59" t="e">
        <f t="shared" si="4"/>
        <v>#REF!</v>
      </c>
      <c r="I19" s="59"/>
      <c r="J19" s="59"/>
      <c r="K19" s="29" t="b">
        <f t="shared" si="3"/>
        <v>1</v>
      </c>
      <c r="L19" s="72" t="b">
        <f t="shared" si="0"/>
        <v>1</v>
      </c>
      <c r="M19" s="69">
        <f t="shared" si="1"/>
        <v>0</v>
      </c>
      <c r="N19" s="49" t="s">
        <v>138</v>
      </c>
      <c r="O19" s="191">
        <v>12150</v>
      </c>
      <c r="P19" s="191"/>
      <c r="Q19" s="23" t="e">
        <f>+#REF!/1000-C19</f>
        <v>#REF!</v>
      </c>
      <c r="R19" s="23" t="e">
        <f>+#REF!/1000-E19</f>
        <v>#REF!</v>
      </c>
      <c r="S19" s="14"/>
      <c r="X19" s="41" t="s">
        <v>138</v>
      </c>
      <c r="Y19" s="191">
        <v>12150</v>
      </c>
      <c r="Z19" s="191"/>
    </row>
    <row r="20" spans="2:26">
      <c r="B20" s="3" t="s">
        <v>109</v>
      </c>
      <c r="C20" s="224">
        <f>C21</f>
        <v>-3895.4470000000006</v>
      </c>
      <c r="D20" s="224"/>
      <c r="E20" s="224">
        <f>E21</f>
        <v>19363.924999999999</v>
      </c>
      <c r="F20" s="224"/>
      <c r="G20" s="34"/>
      <c r="H20" s="60"/>
      <c r="I20" s="60"/>
      <c r="J20" s="60"/>
      <c r="K20" s="29" t="b">
        <f>N20=B20</f>
        <v>1</v>
      </c>
      <c r="L20" s="72" t="b">
        <f t="shared" si="0"/>
        <v>1</v>
      </c>
      <c r="M20" s="69">
        <f>+O20-E20</f>
        <v>0</v>
      </c>
      <c r="N20" s="48" t="s">
        <v>109</v>
      </c>
      <c r="O20" s="227">
        <v>19363.924999999999</v>
      </c>
      <c r="P20" s="228"/>
      <c r="X20" s="40" t="s">
        <v>109</v>
      </c>
      <c r="Y20" s="227">
        <v>19363.924999999999</v>
      </c>
      <c r="Z20" s="228"/>
    </row>
    <row r="21" spans="2:26">
      <c r="B21" s="1" t="s">
        <v>110</v>
      </c>
      <c r="C21" s="224">
        <f>C25+C29+C33+C37</f>
        <v>-3895.4470000000006</v>
      </c>
      <c r="D21" s="224"/>
      <c r="E21" s="224">
        <f>E25+E29+E33+E37</f>
        <v>19363.924999999999</v>
      </c>
      <c r="F21" s="224"/>
      <c r="G21" s="34"/>
      <c r="H21" s="60"/>
      <c r="I21" s="60"/>
      <c r="J21" s="60"/>
      <c r="K21" s="29" t="b">
        <f t="shared" si="3"/>
        <v>1</v>
      </c>
      <c r="L21" s="72" t="b">
        <f t="shared" si="0"/>
        <v>1</v>
      </c>
      <c r="M21" s="69">
        <f t="shared" ref="M21:M26" si="5">+O21-E21</f>
        <v>0</v>
      </c>
      <c r="N21" s="49" t="s">
        <v>110</v>
      </c>
      <c r="O21" s="229">
        <v>19363.924999999999</v>
      </c>
      <c r="P21" s="229"/>
      <c r="X21" s="41" t="s">
        <v>110</v>
      </c>
      <c r="Y21" s="229">
        <v>19363.924999999999</v>
      </c>
      <c r="Z21" s="229"/>
    </row>
    <row r="22" spans="2:26">
      <c r="B22" s="2" t="s">
        <v>24</v>
      </c>
      <c r="C22" s="225"/>
      <c r="D22" s="225"/>
      <c r="E22" s="225"/>
      <c r="F22" s="225"/>
      <c r="G22" s="34"/>
      <c r="H22" s="60"/>
      <c r="I22" s="60"/>
      <c r="J22" s="60"/>
      <c r="K22" s="29" t="b">
        <f t="shared" si="3"/>
        <v>1</v>
      </c>
      <c r="L22" s="72" t="b">
        <f t="shared" si="0"/>
        <v>1</v>
      </c>
      <c r="M22" s="69">
        <f t="shared" si="5"/>
        <v>0</v>
      </c>
      <c r="N22" s="49" t="s">
        <v>24</v>
      </c>
      <c r="O22" s="229"/>
      <c r="P22" s="229"/>
      <c r="X22" s="42" t="s">
        <v>24</v>
      </c>
      <c r="Y22" s="229"/>
      <c r="Z22" s="229"/>
    </row>
    <row r="23" spans="2:26">
      <c r="B23" s="5" t="s">
        <v>111</v>
      </c>
      <c r="C23" s="195">
        <f>24259.044+911.583</f>
        <v>25170.627</v>
      </c>
      <c r="D23" s="195"/>
      <c r="E23" s="221">
        <v>66038.043999999994</v>
      </c>
      <c r="F23" s="221"/>
      <c r="G23" s="32">
        <f>C40-E40-C23</f>
        <v>0</v>
      </c>
      <c r="H23" s="61"/>
      <c r="I23" s="61"/>
      <c r="J23" s="61"/>
      <c r="K23" s="29" t="b">
        <f t="shared" si="3"/>
        <v>1</v>
      </c>
      <c r="L23" s="72" t="b">
        <f t="shared" si="0"/>
        <v>1</v>
      </c>
      <c r="M23" s="69">
        <f t="shared" si="5"/>
        <v>0</v>
      </c>
      <c r="N23" s="49" t="s">
        <v>111</v>
      </c>
      <c r="O23" s="181">
        <v>66038.043999999994</v>
      </c>
      <c r="P23" s="181"/>
      <c r="X23" s="43" t="s">
        <v>111</v>
      </c>
      <c r="Y23" s="181">
        <v>66038.043999999994</v>
      </c>
      <c r="Z23" s="181"/>
    </row>
    <row r="24" spans="2:26">
      <c r="B24" s="5" t="s">
        <v>112</v>
      </c>
      <c r="C24" s="195">
        <f>28663.281+911.583</f>
        <v>29574.863999999998</v>
      </c>
      <c r="D24" s="195"/>
      <c r="E24" s="221">
        <v>46836.438999999998</v>
      </c>
      <c r="F24" s="221"/>
      <c r="G24" s="32">
        <f>C41-E41-C24</f>
        <v>0</v>
      </c>
      <c r="H24" s="61"/>
      <c r="I24" s="61"/>
      <c r="J24" s="61"/>
      <c r="K24" s="29" t="b">
        <f t="shared" si="3"/>
        <v>1</v>
      </c>
      <c r="L24" s="72" t="b">
        <f t="shared" si="0"/>
        <v>1</v>
      </c>
      <c r="M24" s="69">
        <f t="shared" si="5"/>
        <v>0</v>
      </c>
      <c r="N24" s="49" t="s">
        <v>112</v>
      </c>
      <c r="O24" s="181">
        <v>46836.438999999998</v>
      </c>
      <c r="P24" s="181"/>
      <c r="X24" s="43" t="s">
        <v>112</v>
      </c>
      <c r="Y24" s="181">
        <v>46836.438999999998</v>
      </c>
      <c r="Z24" s="181"/>
    </row>
    <row r="25" spans="2:26">
      <c r="B25" s="5" t="s">
        <v>113</v>
      </c>
      <c r="C25" s="195">
        <v>-4404.2370000000001</v>
      </c>
      <c r="D25" s="195"/>
      <c r="E25" s="195">
        <v>19201.605</v>
      </c>
      <c r="F25" s="195"/>
      <c r="G25" s="32">
        <f>C42-E42-C25</f>
        <v>-8.1854523159563541E-12</v>
      </c>
      <c r="H25" s="61"/>
      <c r="I25" s="61"/>
      <c r="J25" s="61"/>
      <c r="K25" s="29" t="b">
        <f t="shared" si="3"/>
        <v>1</v>
      </c>
      <c r="L25" s="72" t="b">
        <f t="shared" si="0"/>
        <v>1</v>
      </c>
      <c r="M25" s="69">
        <f t="shared" si="5"/>
        <v>0</v>
      </c>
      <c r="N25" s="49" t="s">
        <v>113</v>
      </c>
      <c r="O25" s="181">
        <v>19201.605</v>
      </c>
      <c r="P25" s="181"/>
      <c r="X25" s="43" t="s">
        <v>113</v>
      </c>
      <c r="Y25" s="181">
        <v>19201.605</v>
      </c>
      <c r="Z25" s="181"/>
    </row>
    <row r="26" spans="2:26">
      <c r="B26" s="2" t="s">
        <v>25</v>
      </c>
      <c r="C26" s="220"/>
      <c r="D26" s="220"/>
      <c r="E26" s="220"/>
      <c r="F26" s="220"/>
      <c r="G26" s="32">
        <f>C23-C24-C25</f>
        <v>0</v>
      </c>
      <c r="H26" s="61" t="b">
        <f>ROUND(E25,4)=ROUND(E23-E24,4)</f>
        <v>1</v>
      </c>
      <c r="I26" s="61"/>
      <c r="J26" s="61"/>
      <c r="K26" s="29" t="b">
        <f t="shared" si="3"/>
        <v>1</v>
      </c>
      <c r="L26" s="72" t="b">
        <f t="shared" si="0"/>
        <v>1</v>
      </c>
      <c r="M26" s="69">
        <f t="shared" si="5"/>
        <v>0</v>
      </c>
      <c r="N26" s="49" t="s">
        <v>25</v>
      </c>
      <c r="O26" s="229"/>
      <c r="P26" s="229"/>
      <c r="X26" s="42" t="s">
        <v>25</v>
      </c>
      <c r="Y26" s="229"/>
      <c r="Z26" s="229"/>
    </row>
    <row r="27" spans="2:26">
      <c r="B27" s="5" t="s">
        <v>111</v>
      </c>
      <c r="C27" s="195">
        <v>44.997</v>
      </c>
      <c r="D27" s="195"/>
      <c r="E27" s="195">
        <v>162.32</v>
      </c>
      <c r="F27" s="195"/>
      <c r="G27" s="32">
        <f>C44-E44-C27</f>
        <v>0</v>
      </c>
      <c r="H27" s="61"/>
      <c r="I27" s="61"/>
      <c r="J27" s="61"/>
      <c r="K27" s="29" t="b">
        <f t="shared" si="3"/>
        <v>1</v>
      </c>
      <c r="L27" s="72" t="b">
        <f t="shared" ref="L27:L37" si="6">O27=E27</f>
        <v>1</v>
      </c>
      <c r="M27" s="69">
        <f t="shared" ref="M27:M37" si="7">+O27-E27</f>
        <v>0</v>
      </c>
      <c r="N27" s="49" t="s">
        <v>111</v>
      </c>
      <c r="O27" s="181">
        <v>162.32</v>
      </c>
      <c r="P27" s="181"/>
      <c r="X27" s="43" t="s">
        <v>111</v>
      </c>
      <c r="Y27" s="181">
        <v>162.32</v>
      </c>
      <c r="Z27" s="181"/>
    </row>
    <row r="28" spans="2:26">
      <c r="B28" s="5" t="s">
        <v>112</v>
      </c>
      <c r="C28" s="195">
        <v>173.11500000000001</v>
      </c>
      <c r="D28" s="195"/>
      <c r="E28" s="195">
        <v>0</v>
      </c>
      <c r="F28" s="195"/>
      <c r="G28" s="32">
        <f>C45-E45-C28</f>
        <v>0</v>
      </c>
      <c r="H28" s="61"/>
      <c r="I28" s="61"/>
      <c r="J28" s="61"/>
      <c r="K28" s="29" t="b">
        <f t="shared" si="3"/>
        <v>1</v>
      </c>
      <c r="L28" s="72" t="b">
        <f t="shared" si="6"/>
        <v>1</v>
      </c>
      <c r="M28" s="69">
        <f t="shared" si="7"/>
        <v>0</v>
      </c>
      <c r="N28" s="49" t="s">
        <v>112</v>
      </c>
      <c r="O28" s="181">
        <v>0</v>
      </c>
      <c r="P28" s="181"/>
      <c r="X28" s="43" t="s">
        <v>112</v>
      </c>
      <c r="Y28" s="181" t="s">
        <v>0</v>
      </c>
      <c r="Z28" s="181"/>
    </row>
    <row r="29" spans="2:26">
      <c r="B29" s="5" t="s">
        <v>113</v>
      </c>
      <c r="C29" s="195">
        <v>-128.11799999999999</v>
      </c>
      <c r="D29" s="195"/>
      <c r="E29" s="195">
        <v>162.32</v>
      </c>
      <c r="F29" s="195"/>
      <c r="G29" s="32">
        <f>C46-E46-C29</f>
        <v>0</v>
      </c>
      <c r="H29" s="61"/>
      <c r="I29" s="61"/>
      <c r="J29" s="61"/>
      <c r="K29" s="29" t="b">
        <f t="shared" si="3"/>
        <v>1</v>
      </c>
      <c r="L29" s="72" t="b">
        <f t="shared" si="6"/>
        <v>1</v>
      </c>
      <c r="M29" s="69">
        <f t="shared" si="7"/>
        <v>0</v>
      </c>
      <c r="N29" s="49" t="s">
        <v>113</v>
      </c>
      <c r="O29" s="181">
        <v>162.32</v>
      </c>
      <c r="P29" s="181"/>
      <c r="X29" s="43" t="s">
        <v>113</v>
      </c>
      <c r="Y29" s="181">
        <v>162.32</v>
      </c>
      <c r="Z29" s="181"/>
    </row>
    <row r="30" spans="2:26">
      <c r="B30" s="2" t="s">
        <v>26</v>
      </c>
      <c r="C30" s="220"/>
      <c r="D30" s="220"/>
      <c r="E30" s="220"/>
      <c r="F30" s="220"/>
      <c r="G30" s="32">
        <f>C27-C28-C29</f>
        <v>0</v>
      </c>
      <c r="H30" s="61" t="b">
        <f>ROUND(E29,4)=ROUND(E27-E28,4)</f>
        <v>1</v>
      </c>
      <c r="I30" s="61"/>
      <c r="J30" s="61"/>
      <c r="K30" s="29" t="b">
        <f t="shared" si="3"/>
        <v>1</v>
      </c>
      <c r="L30" s="72" t="b">
        <f t="shared" si="6"/>
        <v>1</v>
      </c>
      <c r="M30" s="69">
        <f t="shared" si="7"/>
        <v>0</v>
      </c>
      <c r="N30" s="49" t="s">
        <v>26</v>
      </c>
      <c r="O30" s="229"/>
      <c r="P30" s="229"/>
      <c r="X30" s="42" t="s">
        <v>26</v>
      </c>
      <c r="Y30" s="229"/>
      <c r="Z30" s="229"/>
    </row>
    <row r="31" spans="2:26">
      <c r="B31" s="5" t="s">
        <v>111</v>
      </c>
      <c r="C31" s="195">
        <v>546.98599999999999</v>
      </c>
      <c r="D31" s="195"/>
      <c r="E31" s="195">
        <v>0</v>
      </c>
      <c r="F31" s="195"/>
      <c r="G31" s="32">
        <f>C48-E48-C31</f>
        <v>0</v>
      </c>
      <c r="H31" s="61"/>
      <c r="I31" s="61"/>
      <c r="J31" s="61"/>
      <c r="K31" s="29" t="b">
        <f t="shared" si="3"/>
        <v>1</v>
      </c>
      <c r="L31" s="72" t="b">
        <f t="shared" si="6"/>
        <v>1</v>
      </c>
      <c r="M31" s="69">
        <f t="shared" si="7"/>
        <v>0</v>
      </c>
      <c r="N31" s="49" t="s">
        <v>111</v>
      </c>
      <c r="O31" s="181">
        <v>0</v>
      </c>
      <c r="P31" s="181"/>
      <c r="X31" s="43" t="s">
        <v>111</v>
      </c>
      <c r="Y31" s="181" t="s">
        <v>0</v>
      </c>
      <c r="Z31" s="181"/>
    </row>
    <row r="32" spans="2:26">
      <c r="B32" s="5" t="s">
        <v>112</v>
      </c>
      <c r="C32" s="195">
        <v>0.17299999999999999</v>
      </c>
      <c r="D32" s="195"/>
      <c r="E32" s="195">
        <v>0</v>
      </c>
      <c r="F32" s="195"/>
      <c r="G32" s="32">
        <f>C49-E49-C32</f>
        <v>0</v>
      </c>
      <c r="H32" s="61"/>
      <c r="I32" s="61"/>
      <c r="J32" s="61"/>
      <c r="K32" s="29" t="b">
        <f t="shared" si="3"/>
        <v>1</v>
      </c>
      <c r="L32" s="72" t="b">
        <f t="shared" si="6"/>
        <v>1</v>
      </c>
      <c r="M32" s="69">
        <f t="shared" si="7"/>
        <v>0</v>
      </c>
      <c r="N32" s="49" t="s">
        <v>112</v>
      </c>
      <c r="O32" s="181">
        <v>0</v>
      </c>
      <c r="P32" s="181"/>
      <c r="X32" s="43" t="s">
        <v>112</v>
      </c>
      <c r="Y32" s="181" t="s">
        <v>0</v>
      </c>
      <c r="Z32" s="181"/>
    </row>
    <row r="33" spans="2:26">
      <c r="B33" s="5" t="s">
        <v>113</v>
      </c>
      <c r="C33" s="195">
        <v>546.81299999999999</v>
      </c>
      <c r="D33" s="195"/>
      <c r="E33" s="195">
        <v>0</v>
      </c>
      <c r="F33" s="195"/>
      <c r="G33" s="19">
        <f>C50-E50-C33</f>
        <v>0</v>
      </c>
      <c r="H33" s="61"/>
      <c r="I33" s="61"/>
      <c r="J33" s="61"/>
      <c r="K33" s="29" t="b">
        <f t="shared" si="3"/>
        <v>1</v>
      </c>
      <c r="L33" s="72" t="b">
        <f t="shared" si="6"/>
        <v>1</v>
      </c>
      <c r="M33" s="69">
        <f t="shared" si="7"/>
        <v>0</v>
      </c>
      <c r="N33" s="49" t="s">
        <v>113</v>
      </c>
      <c r="O33" s="181">
        <v>0</v>
      </c>
      <c r="P33" s="181"/>
      <c r="X33" s="43" t="s">
        <v>113</v>
      </c>
      <c r="Y33" s="181" t="s">
        <v>0</v>
      </c>
      <c r="Z33" s="181"/>
    </row>
    <row r="34" spans="2:26">
      <c r="B34" s="2" t="s">
        <v>27</v>
      </c>
      <c r="C34" s="220"/>
      <c r="D34" s="220"/>
      <c r="E34" s="220"/>
      <c r="F34" s="220"/>
      <c r="G34" s="19">
        <f>C31-C32-C33</f>
        <v>0</v>
      </c>
      <c r="H34" s="61" t="b">
        <f>ROUND(E33,4)=ROUND(E31-E32,4)</f>
        <v>1</v>
      </c>
      <c r="I34" s="61"/>
      <c r="J34" s="61"/>
      <c r="K34" s="29" t="b">
        <f t="shared" si="3"/>
        <v>1</v>
      </c>
      <c r="L34" s="72" t="b">
        <f t="shared" si="6"/>
        <v>1</v>
      </c>
      <c r="M34" s="69">
        <f t="shared" si="7"/>
        <v>0</v>
      </c>
      <c r="N34" s="57" t="s">
        <v>27</v>
      </c>
      <c r="O34" s="181"/>
      <c r="P34" s="181"/>
      <c r="X34" s="41" t="s">
        <v>114</v>
      </c>
      <c r="Y34" s="229">
        <v>100575.88500000001</v>
      </c>
      <c r="Z34" s="229"/>
    </row>
    <row r="35" spans="2:26">
      <c r="B35" s="5" t="s">
        <v>111</v>
      </c>
      <c r="C35" s="195">
        <v>90.094999999999999</v>
      </c>
      <c r="D35" s="195"/>
      <c r="E35" s="195">
        <v>0</v>
      </c>
      <c r="F35" s="195"/>
      <c r="G35" s="19">
        <f>C52-E52-C35</f>
        <v>0</v>
      </c>
      <c r="H35" s="61"/>
      <c r="I35" s="61"/>
      <c r="J35" s="61"/>
      <c r="K35" s="29" t="b">
        <f t="shared" si="3"/>
        <v>1</v>
      </c>
      <c r="L35" s="72" t="b">
        <f t="shared" si="6"/>
        <v>1</v>
      </c>
      <c r="M35" s="69">
        <f t="shared" si="7"/>
        <v>0</v>
      </c>
      <c r="N35" s="57" t="s">
        <v>111</v>
      </c>
      <c r="O35" s="181">
        <v>0</v>
      </c>
      <c r="P35" s="181"/>
      <c r="X35" s="42" t="s">
        <v>24</v>
      </c>
      <c r="Y35" s="229"/>
      <c r="Z35" s="229"/>
    </row>
    <row r="36" spans="2:26" ht="19.2">
      <c r="B36" s="5" t="s">
        <v>112</v>
      </c>
      <c r="C36" s="195">
        <v>0</v>
      </c>
      <c r="D36" s="195"/>
      <c r="E36" s="195">
        <v>0</v>
      </c>
      <c r="F36" s="195"/>
      <c r="G36" s="19">
        <f>C53-E53-C36</f>
        <v>0</v>
      </c>
      <c r="H36" s="61"/>
      <c r="I36" s="61"/>
      <c r="J36" s="61"/>
      <c r="K36" s="29" t="b">
        <f t="shared" si="3"/>
        <v>1</v>
      </c>
      <c r="L36" s="72" t="b">
        <f t="shared" si="6"/>
        <v>1</v>
      </c>
      <c r="M36" s="69">
        <f t="shared" si="7"/>
        <v>0</v>
      </c>
      <c r="N36" s="57" t="s">
        <v>112</v>
      </c>
      <c r="O36" s="181">
        <v>0</v>
      </c>
      <c r="P36" s="181"/>
      <c r="X36" s="43" t="s">
        <v>111</v>
      </c>
      <c r="Y36" s="181">
        <v>171306.772</v>
      </c>
      <c r="Z36" s="181"/>
    </row>
    <row r="37" spans="2:26">
      <c r="B37" s="5" t="s">
        <v>113</v>
      </c>
      <c r="C37" s="195">
        <v>90.094999999999999</v>
      </c>
      <c r="D37" s="195"/>
      <c r="E37" s="195">
        <v>0</v>
      </c>
      <c r="F37" s="195"/>
      <c r="G37" s="19">
        <f>C54-E54-C37</f>
        <v>0</v>
      </c>
      <c r="H37" s="61"/>
      <c r="I37" s="61"/>
      <c r="J37" s="61"/>
      <c r="K37" s="29" t="b">
        <f t="shared" si="3"/>
        <v>1</v>
      </c>
      <c r="L37" s="72" t="b">
        <f t="shared" si="6"/>
        <v>1</v>
      </c>
      <c r="M37" s="69">
        <f t="shared" si="7"/>
        <v>0</v>
      </c>
      <c r="N37" s="57" t="s">
        <v>113</v>
      </c>
      <c r="O37" s="181">
        <v>0</v>
      </c>
      <c r="P37" s="181"/>
      <c r="X37" s="43" t="s">
        <v>112</v>
      </c>
      <c r="Y37" s="181">
        <v>70893.206999999995</v>
      </c>
      <c r="Z37" s="181"/>
    </row>
    <row r="38" spans="2:26">
      <c r="B38" s="1" t="s">
        <v>114</v>
      </c>
      <c r="C38" s="220">
        <f>+bilans!C24</f>
        <v>96680.437999999995</v>
      </c>
      <c r="D38" s="220"/>
      <c r="E38" s="220">
        <f>+bilans!D24</f>
        <v>100575.88499999999</v>
      </c>
      <c r="F38" s="220"/>
      <c r="G38" s="19">
        <f>C35-C36-C37</f>
        <v>0</v>
      </c>
      <c r="H38" s="61" t="b">
        <f>ROUND(E37,4)=ROUND(E35-E36,4)</f>
        <v>1</v>
      </c>
      <c r="I38" s="61"/>
      <c r="J38" s="61"/>
      <c r="K38" s="29" t="b">
        <f t="shared" si="3"/>
        <v>1</v>
      </c>
      <c r="L38" s="72" t="b">
        <f t="shared" ref="L38:L49" si="8">O38=E38</f>
        <v>1</v>
      </c>
      <c r="M38" s="69">
        <f t="shared" ref="M38:M49" si="9">+O38-E38</f>
        <v>0</v>
      </c>
      <c r="N38" s="49" t="s">
        <v>114</v>
      </c>
      <c r="O38" s="229">
        <v>100575.88500000001</v>
      </c>
      <c r="P38" s="229"/>
      <c r="X38" s="43" t="s">
        <v>113</v>
      </c>
      <c r="Y38" s="181">
        <v>100413.565</v>
      </c>
      <c r="Z38" s="181"/>
    </row>
    <row r="39" spans="2:26">
      <c r="B39" s="2" t="s">
        <v>24</v>
      </c>
      <c r="C39" s="220"/>
      <c r="D39" s="220"/>
      <c r="E39" s="220"/>
      <c r="F39" s="220"/>
      <c r="G39" s="34"/>
      <c r="H39" s="60"/>
      <c r="I39" s="60"/>
      <c r="J39" s="60"/>
      <c r="K39" s="29" t="b">
        <f t="shared" si="3"/>
        <v>1</v>
      </c>
      <c r="L39" s="72" t="b">
        <f t="shared" si="8"/>
        <v>1</v>
      </c>
      <c r="M39" s="69">
        <f t="shared" si="9"/>
        <v>0</v>
      </c>
      <c r="N39" s="49" t="s">
        <v>24</v>
      </c>
      <c r="O39" s="183"/>
      <c r="P39" s="183"/>
      <c r="X39" s="42" t="s">
        <v>25</v>
      </c>
      <c r="Y39" s="229"/>
      <c r="Z39" s="229"/>
    </row>
    <row r="40" spans="2:26">
      <c r="B40" s="5" t="s">
        <v>111</v>
      </c>
      <c r="C40" s="195">
        <v>196477.399</v>
      </c>
      <c r="D40" s="195"/>
      <c r="E40" s="221">
        <v>171306.772</v>
      </c>
      <c r="F40" s="221"/>
      <c r="H40" s="60"/>
      <c r="I40" s="60"/>
      <c r="J40" s="60"/>
      <c r="K40" s="29" t="b">
        <f t="shared" si="3"/>
        <v>1</v>
      </c>
      <c r="L40" s="72" t="b">
        <f t="shared" si="8"/>
        <v>1</v>
      </c>
      <c r="M40" s="69">
        <f t="shared" si="9"/>
        <v>0</v>
      </c>
      <c r="N40" s="49" t="s">
        <v>111</v>
      </c>
      <c r="O40" s="182">
        <v>171306.772</v>
      </c>
      <c r="P40" s="182"/>
      <c r="Q40" s="84">
        <f>+E40</f>
        <v>171306.772</v>
      </c>
      <c r="X40" s="43" t="s">
        <v>111</v>
      </c>
      <c r="Y40" s="181">
        <v>162.32</v>
      </c>
      <c r="Z40" s="181"/>
    </row>
    <row r="41" spans="2:26">
      <c r="B41" s="5" t="s">
        <v>112</v>
      </c>
      <c r="C41" s="195">
        <v>100468.071</v>
      </c>
      <c r="D41" s="195"/>
      <c r="E41" s="221">
        <v>70893.206999999995</v>
      </c>
      <c r="F41" s="221"/>
      <c r="G41" s="34"/>
      <c r="H41" s="60"/>
      <c r="I41" s="60"/>
      <c r="J41" s="60"/>
      <c r="K41" s="29" t="b">
        <f t="shared" si="3"/>
        <v>1</v>
      </c>
      <c r="L41" s="72" t="b">
        <f t="shared" si="8"/>
        <v>1</v>
      </c>
      <c r="M41" s="69">
        <f t="shared" si="9"/>
        <v>0</v>
      </c>
      <c r="N41" s="49" t="s">
        <v>112</v>
      </c>
      <c r="O41" s="182">
        <v>70893.206999999995</v>
      </c>
      <c r="P41" s="182"/>
      <c r="X41" s="43" t="s">
        <v>112</v>
      </c>
      <c r="Y41" s="181" t="s">
        <v>0</v>
      </c>
      <c r="Z41" s="181"/>
    </row>
    <row r="42" spans="2:26">
      <c r="B42" s="5" t="s">
        <v>113</v>
      </c>
      <c r="C42" s="195">
        <v>96009.327999999994</v>
      </c>
      <c r="D42" s="195"/>
      <c r="E42" s="195">
        <v>100413.565</v>
      </c>
      <c r="F42" s="195"/>
      <c r="G42" s="34">
        <f>bilans!C25</f>
        <v>96009.327999999994</v>
      </c>
      <c r="H42" s="60" t="b">
        <f>G42=C42</f>
        <v>1</v>
      </c>
      <c r="I42" s="60"/>
      <c r="J42" s="60"/>
      <c r="K42" s="29" t="b">
        <f t="shared" si="3"/>
        <v>1</v>
      </c>
      <c r="L42" s="72" t="b">
        <f t="shared" si="8"/>
        <v>1</v>
      </c>
      <c r="M42" s="69">
        <f t="shared" si="9"/>
        <v>0</v>
      </c>
      <c r="N42" s="49" t="s">
        <v>113</v>
      </c>
      <c r="O42" s="182">
        <v>100413.565</v>
      </c>
      <c r="P42" s="182"/>
      <c r="X42" s="43" t="s">
        <v>113</v>
      </c>
      <c r="Y42" s="181">
        <v>162.32</v>
      </c>
      <c r="Z42" s="181"/>
    </row>
    <row r="43" spans="2:26">
      <c r="B43" s="2" t="s">
        <v>25</v>
      </c>
      <c r="C43" s="220"/>
      <c r="D43" s="220"/>
      <c r="E43" s="220"/>
      <c r="F43" s="220"/>
      <c r="G43" s="34"/>
      <c r="H43" s="60"/>
      <c r="I43" s="60"/>
      <c r="J43" s="60"/>
      <c r="K43" s="29" t="b">
        <f t="shared" si="3"/>
        <v>1</v>
      </c>
      <c r="L43" s="72" t="b">
        <f t="shared" si="8"/>
        <v>1</v>
      </c>
      <c r="M43" s="69">
        <f t="shared" si="9"/>
        <v>0</v>
      </c>
      <c r="N43" s="49" t="s">
        <v>25</v>
      </c>
      <c r="O43" s="183"/>
      <c r="P43" s="183"/>
      <c r="X43" s="42" t="s">
        <v>26</v>
      </c>
      <c r="Y43" s="229"/>
      <c r="Z43" s="229"/>
    </row>
    <row r="44" spans="2:26">
      <c r="B44" s="5" t="s">
        <v>111</v>
      </c>
      <c r="C44" s="195">
        <v>207.31700000000001</v>
      </c>
      <c r="D44" s="195"/>
      <c r="E44" s="195">
        <v>162.32</v>
      </c>
      <c r="F44" s="195"/>
      <c r="G44" s="34"/>
      <c r="H44" s="60"/>
      <c r="I44" s="60"/>
      <c r="J44" s="60"/>
      <c r="K44" s="29" t="b">
        <f t="shared" si="3"/>
        <v>1</v>
      </c>
      <c r="L44" s="72" t="b">
        <f t="shared" si="8"/>
        <v>1</v>
      </c>
      <c r="M44" s="69">
        <f t="shared" si="9"/>
        <v>0</v>
      </c>
      <c r="N44" s="49" t="s">
        <v>111</v>
      </c>
      <c r="O44" s="182">
        <v>162.32</v>
      </c>
      <c r="P44" s="182"/>
      <c r="X44" s="43" t="s">
        <v>111</v>
      </c>
      <c r="Y44" s="181" t="s">
        <v>0</v>
      </c>
      <c r="Z44" s="181"/>
    </row>
    <row r="45" spans="2:26">
      <c r="B45" s="5" t="s">
        <v>112</v>
      </c>
      <c r="C45" s="195">
        <v>173.11500000000001</v>
      </c>
      <c r="D45" s="195"/>
      <c r="E45" s="195">
        <v>0</v>
      </c>
      <c r="F45" s="195"/>
      <c r="G45" s="34"/>
      <c r="H45" s="60"/>
      <c r="I45" s="60"/>
      <c r="J45" s="60"/>
      <c r="K45" s="29" t="b">
        <f t="shared" si="3"/>
        <v>1</v>
      </c>
      <c r="L45" s="72" t="b">
        <f t="shared" si="8"/>
        <v>1</v>
      </c>
      <c r="M45" s="69">
        <f t="shared" si="9"/>
        <v>0</v>
      </c>
      <c r="N45" s="49" t="s">
        <v>112</v>
      </c>
      <c r="O45" s="182">
        <v>0</v>
      </c>
      <c r="P45" s="182"/>
      <c r="X45" s="43" t="s">
        <v>112</v>
      </c>
      <c r="Y45" s="181" t="s">
        <v>0</v>
      </c>
      <c r="Z45" s="181"/>
    </row>
    <row r="46" spans="2:26">
      <c r="B46" s="5" t="s">
        <v>113</v>
      </c>
      <c r="C46" s="195">
        <v>34.201999999999998</v>
      </c>
      <c r="D46" s="195"/>
      <c r="E46" s="195">
        <v>162.32</v>
      </c>
      <c r="F46" s="195"/>
      <c r="G46" s="34">
        <f>bilans!C26</f>
        <v>34.201999999999998</v>
      </c>
      <c r="H46" s="60" t="b">
        <f>G46=C46</f>
        <v>1</v>
      </c>
      <c r="I46" s="60"/>
      <c r="J46" s="60"/>
      <c r="K46" s="29" t="b">
        <f t="shared" si="3"/>
        <v>1</v>
      </c>
      <c r="L46" s="72" t="b">
        <f t="shared" si="8"/>
        <v>1</v>
      </c>
      <c r="M46" s="69">
        <f t="shared" si="9"/>
        <v>0</v>
      </c>
      <c r="N46" s="49" t="s">
        <v>113</v>
      </c>
      <c r="O46" s="182">
        <v>162.32</v>
      </c>
      <c r="P46" s="182"/>
      <c r="X46" s="43" t="s">
        <v>113</v>
      </c>
      <c r="Y46" s="181" t="s">
        <v>0</v>
      </c>
      <c r="Z46" s="181"/>
    </row>
    <row r="47" spans="2:26">
      <c r="B47" s="2" t="s">
        <v>26</v>
      </c>
      <c r="C47" s="220"/>
      <c r="D47" s="220"/>
      <c r="E47" s="220"/>
      <c r="F47" s="220"/>
      <c r="G47" s="34"/>
      <c r="H47" s="60"/>
      <c r="I47" s="60"/>
      <c r="J47" s="60"/>
      <c r="K47" s="29" t="b">
        <f t="shared" si="3"/>
        <v>1</v>
      </c>
      <c r="L47" s="72" t="b">
        <f t="shared" si="8"/>
        <v>1</v>
      </c>
      <c r="M47" s="69">
        <f t="shared" si="9"/>
        <v>0</v>
      </c>
      <c r="N47" s="49" t="s">
        <v>26</v>
      </c>
      <c r="O47" s="183"/>
      <c r="P47" s="183"/>
      <c r="X47" s="41" t="s">
        <v>2</v>
      </c>
      <c r="Y47" s="230" t="s">
        <v>0</v>
      </c>
      <c r="Z47" s="231"/>
    </row>
    <row r="48" spans="2:26">
      <c r="B48" s="5" t="s">
        <v>111</v>
      </c>
      <c r="C48" s="195">
        <v>546.98599999999999</v>
      </c>
      <c r="D48" s="195"/>
      <c r="E48" s="195">
        <v>0</v>
      </c>
      <c r="F48" s="195"/>
      <c r="G48" s="34"/>
      <c r="H48" s="60"/>
      <c r="I48" s="60"/>
      <c r="J48" s="60"/>
      <c r="K48" s="29" t="b">
        <f t="shared" si="3"/>
        <v>1</v>
      </c>
      <c r="L48" s="72" t="b">
        <f t="shared" si="8"/>
        <v>1</v>
      </c>
      <c r="M48" s="69">
        <f t="shared" si="9"/>
        <v>0</v>
      </c>
      <c r="N48" s="49" t="s">
        <v>111</v>
      </c>
      <c r="O48" s="182">
        <v>0</v>
      </c>
      <c r="P48" s="182"/>
      <c r="X48" s="44" t="s">
        <v>115</v>
      </c>
      <c r="Y48" s="232"/>
      <c r="Z48" s="233"/>
    </row>
    <row r="49" spans="1:26" ht="19.2">
      <c r="B49" s="5" t="s">
        <v>112</v>
      </c>
      <c r="C49" s="195">
        <v>0.17299999999999999</v>
      </c>
      <c r="D49" s="195"/>
      <c r="E49" s="195">
        <v>0</v>
      </c>
      <c r="F49" s="195"/>
      <c r="G49" s="34"/>
      <c r="H49" s="60"/>
      <c r="I49" s="60"/>
      <c r="J49" s="60"/>
      <c r="K49" s="29" t="b">
        <f t="shared" si="3"/>
        <v>1</v>
      </c>
      <c r="L49" s="72" t="b">
        <f t="shared" si="8"/>
        <v>1</v>
      </c>
      <c r="M49" s="69">
        <f t="shared" si="9"/>
        <v>0</v>
      </c>
      <c r="N49" s="49" t="s">
        <v>112</v>
      </c>
      <c r="O49" s="182">
        <v>0</v>
      </c>
      <c r="P49" s="182"/>
      <c r="X49" s="45" t="s">
        <v>116</v>
      </c>
      <c r="Y49" s="234"/>
      <c r="Z49" s="235"/>
    </row>
    <row r="50" spans="1:26">
      <c r="B50" s="5" t="s">
        <v>113</v>
      </c>
      <c r="C50" s="195">
        <v>546.81299999999999</v>
      </c>
      <c r="D50" s="195"/>
      <c r="E50" s="195">
        <v>0</v>
      </c>
      <c r="F50" s="195"/>
      <c r="G50" s="34">
        <f>bilans!C27</f>
        <v>546.81299999999999</v>
      </c>
      <c r="H50" s="60" t="b">
        <f>G50=C50</f>
        <v>1</v>
      </c>
      <c r="I50" s="60"/>
      <c r="J50" s="60"/>
      <c r="K50" s="29" t="b">
        <f t="shared" si="3"/>
        <v>1</v>
      </c>
      <c r="L50" s="72" t="b">
        <f t="shared" ref="L50:L55" si="10">O50=E50</f>
        <v>1</v>
      </c>
      <c r="M50" s="69">
        <f t="shared" ref="M50:M55" si="11">+O50-E50</f>
        <v>0</v>
      </c>
      <c r="N50" s="49" t="s">
        <v>113</v>
      </c>
      <c r="O50" s="182">
        <v>0</v>
      </c>
      <c r="P50" s="182"/>
      <c r="X50" s="46" t="s">
        <v>24</v>
      </c>
      <c r="Y50" s="234">
        <v>125.39</v>
      </c>
      <c r="Z50" s="235"/>
    </row>
    <row r="51" spans="1:26">
      <c r="B51" s="2" t="s">
        <v>27</v>
      </c>
      <c r="C51" s="220"/>
      <c r="D51" s="220"/>
      <c r="E51" s="220"/>
      <c r="F51" s="220"/>
      <c r="G51" s="34"/>
      <c r="H51" s="60"/>
      <c r="I51" s="60"/>
      <c r="J51" s="60"/>
      <c r="K51" s="29" t="b">
        <f t="shared" si="3"/>
        <v>1</v>
      </c>
      <c r="L51" s="72" t="b">
        <f t="shared" si="10"/>
        <v>1</v>
      </c>
      <c r="M51" s="69">
        <f t="shared" si="11"/>
        <v>0</v>
      </c>
      <c r="N51" s="57" t="s">
        <v>27</v>
      </c>
      <c r="O51" s="182"/>
      <c r="P51" s="182"/>
      <c r="X51" s="46" t="s">
        <v>25</v>
      </c>
      <c r="Y51" s="234" t="s">
        <v>0</v>
      </c>
      <c r="Z51" s="235"/>
    </row>
    <row r="52" spans="1:26">
      <c r="B52" s="5" t="s">
        <v>111</v>
      </c>
      <c r="C52" s="195">
        <v>90.094999999999999</v>
      </c>
      <c r="D52" s="195"/>
      <c r="E52" s="195">
        <v>0</v>
      </c>
      <c r="F52" s="195"/>
      <c r="G52" s="34"/>
      <c r="H52" s="60"/>
      <c r="I52" s="60"/>
      <c r="J52" s="60"/>
      <c r="K52" s="29" t="b">
        <f t="shared" si="3"/>
        <v>1</v>
      </c>
      <c r="L52" s="72" t="b">
        <f t="shared" si="10"/>
        <v>1</v>
      </c>
      <c r="M52" s="69">
        <f t="shared" si="11"/>
        <v>0</v>
      </c>
      <c r="N52" s="57" t="s">
        <v>111</v>
      </c>
      <c r="O52" s="183">
        <v>0</v>
      </c>
      <c r="P52" s="183"/>
      <c r="X52" s="46" t="s">
        <v>26</v>
      </c>
      <c r="Y52" s="234" t="s">
        <v>0</v>
      </c>
      <c r="Z52" s="235"/>
    </row>
    <row r="53" spans="1:26" ht="19.2">
      <c r="B53" s="5" t="s">
        <v>112</v>
      </c>
      <c r="C53" s="195">
        <v>0</v>
      </c>
      <c r="D53" s="195"/>
      <c r="E53" s="195">
        <v>0</v>
      </c>
      <c r="F53" s="195"/>
      <c r="G53" s="34"/>
      <c r="H53" s="60"/>
      <c r="I53" s="60"/>
      <c r="J53" s="60"/>
      <c r="K53" s="29" t="b">
        <f t="shared" si="3"/>
        <v>1</v>
      </c>
      <c r="L53" s="72" t="b">
        <f t="shared" si="10"/>
        <v>1</v>
      </c>
      <c r="M53" s="69">
        <f t="shared" si="11"/>
        <v>0</v>
      </c>
      <c r="N53" s="57" t="s">
        <v>112</v>
      </c>
      <c r="O53" s="182">
        <v>0</v>
      </c>
      <c r="P53" s="182"/>
      <c r="X53" s="45" t="s">
        <v>117</v>
      </c>
      <c r="Y53" s="234"/>
      <c r="Z53" s="235"/>
    </row>
    <row r="54" spans="1:26">
      <c r="B54" s="5" t="s">
        <v>113</v>
      </c>
      <c r="C54" s="195">
        <v>90.094999999999999</v>
      </c>
      <c r="D54" s="195"/>
      <c r="E54" s="195">
        <v>0</v>
      </c>
      <c r="F54" s="195"/>
      <c r="G54" s="34">
        <f>bilans!C28</f>
        <v>90.094999999999999</v>
      </c>
      <c r="H54" s="60" t="b">
        <f>G54=C54</f>
        <v>1</v>
      </c>
      <c r="I54" s="60"/>
      <c r="J54" s="60"/>
      <c r="K54" s="29" t="b">
        <f t="shared" si="3"/>
        <v>1</v>
      </c>
      <c r="L54" s="72" t="b">
        <f t="shared" si="10"/>
        <v>1</v>
      </c>
      <c r="M54" s="69">
        <f t="shared" si="11"/>
        <v>0</v>
      </c>
      <c r="N54" s="57" t="s">
        <v>113</v>
      </c>
      <c r="O54" s="182">
        <v>0</v>
      </c>
      <c r="P54" s="182"/>
      <c r="X54" s="46" t="s">
        <v>24</v>
      </c>
      <c r="Y54" s="234">
        <v>114.43</v>
      </c>
      <c r="Z54" s="235"/>
    </row>
    <row r="55" spans="1:26">
      <c r="B55" s="1" t="s">
        <v>2</v>
      </c>
      <c r="C55" s="216">
        <v>0</v>
      </c>
      <c r="D55" s="217"/>
      <c r="E55" s="216">
        <v>0</v>
      </c>
      <c r="F55" s="217"/>
      <c r="G55" s="16"/>
      <c r="H55" s="62"/>
      <c r="I55" s="62"/>
      <c r="J55" s="62"/>
      <c r="K55" s="29" t="b">
        <f t="shared" si="3"/>
        <v>1</v>
      </c>
      <c r="L55" s="72" t="b">
        <f t="shared" si="10"/>
        <v>1</v>
      </c>
      <c r="M55" s="69">
        <f t="shared" si="11"/>
        <v>0</v>
      </c>
      <c r="N55" s="49" t="s">
        <v>2</v>
      </c>
      <c r="O55" s="182">
        <v>0</v>
      </c>
      <c r="P55" s="182"/>
      <c r="X55" s="46" t="s">
        <v>25</v>
      </c>
      <c r="Y55" s="234">
        <v>115.73</v>
      </c>
      <c r="Z55" s="235"/>
    </row>
    <row r="56" spans="1:26">
      <c r="B56" s="6" t="s">
        <v>115</v>
      </c>
      <c r="C56" s="218"/>
      <c r="D56" s="219"/>
      <c r="E56" s="218"/>
      <c r="F56" s="219"/>
      <c r="G56" s="34"/>
      <c r="H56" s="63"/>
      <c r="I56" s="63"/>
      <c r="J56" s="63"/>
      <c r="K56" s="29" t="b">
        <f t="shared" si="3"/>
        <v>1</v>
      </c>
      <c r="L56" s="72" t="b">
        <f t="shared" ref="L56:L71" si="12">O56=E56</f>
        <v>1</v>
      </c>
      <c r="M56" s="69">
        <f t="shared" ref="M56:M71" si="13">+O56-E56</f>
        <v>0</v>
      </c>
      <c r="N56" s="50" t="s">
        <v>115</v>
      </c>
      <c r="O56" s="222"/>
      <c r="P56" s="223"/>
      <c r="X56" s="46" t="s">
        <v>26</v>
      </c>
      <c r="Y56" s="234" t="s">
        <v>0</v>
      </c>
      <c r="Z56" s="235"/>
    </row>
    <row r="57" spans="1:26" ht="19.2">
      <c r="B57" s="7" t="s">
        <v>116</v>
      </c>
      <c r="C57" s="199"/>
      <c r="D57" s="206"/>
      <c r="E57" s="199"/>
      <c r="F57" s="206"/>
      <c r="G57" s="33"/>
      <c r="H57" s="63"/>
      <c r="I57" s="63"/>
      <c r="J57" s="63"/>
      <c r="K57" s="29" t="b">
        <f t="shared" si="3"/>
        <v>1</v>
      </c>
      <c r="L57" s="72" t="b">
        <f t="shared" si="12"/>
        <v>1</v>
      </c>
      <c r="M57" s="69">
        <f t="shared" si="13"/>
        <v>0</v>
      </c>
      <c r="N57" s="51" t="s">
        <v>116</v>
      </c>
      <c r="O57" s="179"/>
      <c r="P57" s="180"/>
      <c r="X57" s="45" t="s">
        <v>118</v>
      </c>
      <c r="Y57" s="234"/>
      <c r="Z57" s="235"/>
    </row>
    <row r="58" spans="1:26">
      <c r="B58" s="8" t="s">
        <v>24</v>
      </c>
      <c r="C58" s="199">
        <v>114.43</v>
      </c>
      <c r="D58" s="206"/>
      <c r="E58" s="199">
        <v>125.39</v>
      </c>
      <c r="F58" s="206"/>
      <c r="G58" s="33">
        <f>+bilans!D30</f>
        <v>114.43</v>
      </c>
      <c r="H58" s="63" t="b">
        <f>G58=C58</f>
        <v>1</v>
      </c>
      <c r="I58" s="63"/>
      <c r="J58" s="63"/>
      <c r="K58" s="29" t="b">
        <f t="shared" si="3"/>
        <v>1</v>
      </c>
      <c r="L58" s="72" t="b">
        <f t="shared" si="12"/>
        <v>1</v>
      </c>
      <c r="M58" s="69">
        <f t="shared" si="13"/>
        <v>0</v>
      </c>
      <c r="N58" s="51" t="s">
        <v>24</v>
      </c>
      <c r="O58" s="179">
        <v>125.39</v>
      </c>
      <c r="P58" s="180"/>
      <c r="X58" s="46" t="s">
        <v>24</v>
      </c>
      <c r="Y58" s="236">
        <v>-8.74</v>
      </c>
      <c r="Z58" s="237"/>
    </row>
    <row r="59" spans="1:26">
      <c r="B59" s="8" t="s">
        <v>25</v>
      </c>
      <c r="C59" s="199">
        <v>115.73</v>
      </c>
      <c r="D59" s="206"/>
      <c r="E59" s="214">
        <v>0</v>
      </c>
      <c r="F59" s="215"/>
      <c r="G59" s="33">
        <f>+bilans!D31</f>
        <v>115.73</v>
      </c>
      <c r="H59" s="63" t="b">
        <f>G59=C59</f>
        <v>1</v>
      </c>
      <c r="I59" s="63"/>
      <c r="J59" s="63"/>
      <c r="K59" s="29" t="b">
        <f t="shared" si="3"/>
        <v>1</v>
      </c>
      <c r="L59" s="72" t="b">
        <f t="shared" si="12"/>
        <v>1</v>
      </c>
      <c r="M59" s="69">
        <f t="shared" si="13"/>
        <v>0</v>
      </c>
      <c r="N59" s="51" t="s">
        <v>25</v>
      </c>
      <c r="O59" s="179">
        <v>0</v>
      </c>
      <c r="P59" s="180"/>
      <c r="X59" s="46" t="s">
        <v>25</v>
      </c>
      <c r="Y59" s="236">
        <v>-14.25</v>
      </c>
      <c r="Z59" s="237"/>
    </row>
    <row r="60" spans="1:26" s="102" customFormat="1" hidden="1" outlineLevel="1">
      <c r="A60" s="102" t="s">
        <v>158</v>
      </c>
      <c r="B60" s="95" t="s">
        <v>26</v>
      </c>
      <c r="C60" s="184">
        <v>0</v>
      </c>
      <c r="D60" s="185"/>
      <c r="E60" s="184">
        <v>0</v>
      </c>
      <c r="F60" s="185"/>
      <c r="G60" s="96"/>
      <c r="H60" s="97"/>
      <c r="I60" s="97"/>
      <c r="J60" s="97"/>
      <c r="K60" s="98" t="b">
        <f t="shared" si="3"/>
        <v>1</v>
      </c>
      <c r="L60" s="98" t="b">
        <f t="shared" si="12"/>
        <v>1</v>
      </c>
      <c r="M60" s="99">
        <f t="shared" si="13"/>
        <v>0</v>
      </c>
      <c r="N60" s="100" t="s">
        <v>26</v>
      </c>
      <c r="O60" s="184">
        <v>0</v>
      </c>
      <c r="P60" s="185"/>
      <c r="Q60" s="101"/>
      <c r="X60" s="95" t="s">
        <v>26</v>
      </c>
      <c r="Y60" s="238" t="s">
        <v>0</v>
      </c>
      <c r="Z60" s="239"/>
    </row>
    <row r="61" spans="1:26" s="102" customFormat="1" ht="19.2" hidden="1" outlineLevel="1">
      <c r="A61" s="102" t="s">
        <v>158</v>
      </c>
      <c r="B61" s="95" t="s">
        <v>27</v>
      </c>
      <c r="C61" s="184">
        <v>0</v>
      </c>
      <c r="D61" s="185"/>
      <c r="E61" s="184">
        <v>0</v>
      </c>
      <c r="F61" s="185"/>
      <c r="G61" s="96"/>
      <c r="H61" s="97"/>
      <c r="I61" s="97"/>
      <c r="J61" s="97"/>
      <c r="K61" s="98" t="b">
        <f t="shared" si="3"/>
        <v>1</v>
      </c>
      <c r="L61" s="98" t="b">
        <f t="shared" si="12"/>
        <v>1</v>
      </c>
      <c r="M61" s="99">
        <f t="shared" si="13"/>
        <v>0</v>
      </c>
      <c r="N61" s="103" t="s">
        <v>27</v>
      </c>
      <c r="O61" s="184">
        <v>0</v>
      </c>
      <c r="P61" s="185"/>
      <c r="Q61" s="101"/>
      <c r="X61" s="104" t="s">
        <v>119</v>
      </c>
      <c r="Y61" s="105" t="s">
        <v>147</v>
      </c>
      <c r="Z61" s="105" t="s">
        <v>148</v>
      </c>
    </row>
    <row r="62" spans="1:26" collapsed="1">
      <c r="B62" s="7" t="s">
        <v>117</v>
      </c>
      <c r="C62" s="199"/>
      <c r="D62" s="206"/>
      <c r="E62" s="199"/>
      <c r="F62" s="206"/>
      <c r="G62" s="33"/>
      <c r="H62" s="63"/>
      <c r="I62" s="63"/>
      <c r="J62" s="63"/>
      <c r="K62" s="29" t="b">
        <f t="shared" si="3"/>
        <v>1</v>
      </c>
      <c r="L62" s="72" t="b">
        <f t="shared" si="12"/>
        <v>1</v>
      </c>
      <c r="M62" s="69">
        <f t="shared" si="13"/>
        <v>0</v>
      </c>
      <c r="N62" s="51" t="s">
        <v>117</v>
      </c>
      <c r="O62" s="179"/>
      <c r="P62" s="180"/>
      <c r="X62" s="46" t="s">
        <v>24</v>
      </c>
      <c r="Y62" s="15">
        <v>111.3</v>
      </c>
      <c r="Z62" s="21">
        <v>43402</v>
      </c>
    </row>
    <row r="63" spans="1:26">
      <c r="B63" s="8" t="s">
        <v>24</v>
      </c>
      <c r="C63" s="199">
        <v>118.79</v>
      </c>
      <c r="D63" s="206"/>
      <c r="E63" s="199">
        <v>114.43</v>
      </c>
      <c r="F63" s="206"/>
      <c r="G63" s="33">
        <f>bilans!C30</f>
        <v>118.79</v>
      </c>
      <c r="H63" s="63" t="b">
        <f>G63=C63</f>
        <v>1</v>
      </c>
      <c r="I63" s="63"/>
      <c r="J63" s="63"/>
      <c r="K63" s="29" t="b">
        <f t="shared" si="3"/>
        <v>1</v>
      </c>
      <c r="L63" s="72" t="b">
        <f t="shared" si="12"/>
        <v>1</v>
      </c>
      <c r="M63" s="69">
        <f t="shared" si="13"/>
        <v>0</v>
      </c>
      <c r="N63" s="51" t="s">
        <v>24</v>
      </c>
      <c r="O63" s="179">
        <v>114.43</v>
      </c>
      <c r="P63" s="180"/>
      <c r="X63" s="46" t="s">
        <v>25</v>
      </c>
      <c r="Y63" s="15">
        <v>112.23092842627571</v>
      </c>
      <c r="Z63" s="21">
        <v>43402</v>
      </c>
    </row>
    <row r="64" spans="1:26">
      <c r="B64" s="8" t="s">
        <v>25</v>
      </c>
      <c r="C64" s="199">
        <v>122.32</v>
      </c>
      <c r="D64" s="206"/>
      <c r="E64" s="199">
        <v>115.73</v>
      </c>
      <c r="F64" s="206"/>
      <c r="G64" s="33">
        <f>bilans!C31</f>
        <v>122.32</v>
      </c>
      <c r="H64" s="63" t="b">
        <f>G64=C64</f>
        <v>1</v>
      </c>
      <c r="I64" s="63"/>
      <c r="J64" s="63"/>
      <c r="K64" s="29" t="b">
        <f t="shared" si="3"/>
        <v>1</v>
      </c>
      <c r="L64" s="72" t="b">
        <f t="shared" si="12"/>
        <v>1</v>
      </c>
      <c r="M64" s="69">
        <f t="shared" si="13"/>
        <v>0</v>
      </c>
      <c r="N64" s="51" t="s">
        <v>25</v>
      </c>
      <c r="O64" s="179">
        <v>115.73</v>
      </c>
      <c r="P64" s="180"/>
      <c r="X64" s="46" t="s">
        <v>26</v>
      </c>
      <c r="Y64" s="15" t="s">
        <v>0</v>
      </c>
      <c r="Z64" s="21" t="s">
        <v>0</v>
      </c>
    </row>
    <row r="65" spans="2:26" ht="19.2">
      <c r="B65" s="8" t="s">
        <v>26</v>
      </c>
      <c r="C65" s="199">
        <v>120.25</v>
      </c>
      <c r="D65" s="206"/>
      <c r="E65" s="199">
        <v>0</v>
      </c>
      <c r="F65" s="206"/>
      <c r="G65" s="33">
        <f>bilans!C32</f>
        <v>120.25</v>
      </c>
      <c r="H65" s="63" t="b">
        <f>G65=C65</f>
        <v>1</v>
      </c>
      <c r="I65" s="63"/>
      <c r="J65" s="63"/>
      <c r="K65" s="29" t="b">
        <f t="shared" si="3"/>
        <v>1</v>
      </c>
      <c r="L65" s="72" t="b">
        <f t="shared" si="12"/>
        <v>1</v>
      </c>
      <c r="M65" s="69">
        <f t="shared" si="13"/>
        <v>0</v>
      </c>
      <c r="N65" s="55" t="s">
        <v>26</v>
      </c>
      <c r="O65" s="179">
        <v>0</v>
      </c>
      <c r="P65" s="180"/>
      <c r="X65" s="45" t="s">
        <v>120</v>
      </c>
      <c r="Y65" s="15"/>
      <c r="Z65" s="21"/>
    </row>
    <row r="66" spans="2:26">
      <c r="B66" s="8" t="s">
        <v>27</v>
      </c>
      <c r="C66" s="199">
        <v>119.01</v>
      </c>
      <c r="D66" s="206"/>
      <c r="E66" s="212">
        <v>0</v>
      </c>
      <c r="F66" s="213"/>
      <c r="G66" s="33">
        <f>bilans!C33</f>
        <v>119.01</v>
      </c>
      <c r="H66" s="63" t="b">
        <f>G66=C66</f>
        <v>1</v>
      </c>
      <c r="I66" s="63"/>
      <c r="J66" s="63"/>
      <c r="K66" s="29" t="b">
        <f t="shared" si="3"/>
        <v>1</v>
      </c>
      <c r="L66" s="72" t="b">
        <f t="shared" si="12"/>
        <v>1</v>
      </c>
      <c r="M66" s="69">
        <f t="shared" si="13"/>
        <v>0</v>
      </c>
      <c r="N66" s="56" t="s">
        <v>27</v>
      </c>
      <c r="O66" s="179">
        <v>0</v>
      </c>
      <c r="P66" s="180"/>
      <c r="X66" s="46" t="s">
        <v>24</v>
      </c>
      <c r="Y66" s="15">
        <v>135.53</v>
      </c>
      <c r="Z66" s="21">
        <v>43126</v>
      </c>
    </row>
    <row r="67" spans="2:26">
      <c r="B67" s="7" t="s">
        <v>118</v>
      </c>
      <c r="C67" s="199"/>
      <c r="D67" s="200"/>
      <c r="E67" s="201"/>
      <c r="F67" s="201"/>
      <c r="G67" s="33"/>
      <c r="H67" s="63"/>
      <c r="I67" s="63"/>
      <c r="J67" s="63"/>
      <c r="K67" s="29" t="b">
        <f t="shared" si="3"/>
        <v>1</v>
      </c>
      <c r="L67" s="72" t="b">
        <f t="shared" si="12"/>
        <v>1</v>
      </c>
      <c r="M67" s="69">
        <f t="shared" si="13"/>
        <v>0</v>
      </c>
      <c r="N67" s="51" t="s">
        <v>118</v>
      </c>
      <c r="O67" s="234"/>
      <c r="P67" s="235"/>
      <c r="X67" s="46" t="s">
        <v>25</v>
      </c>
      <c r="Y67" s="15">
        <v>129.07</v>
      </c>
      <c r="Z67" s="21">
        <v>43257</v>
      </c>
    </row>
    <row r="68" spans="2:26" ht="14.4" thickBot="1">
      <c r="B68" s="8" t="s">
        <v>24</v>
      </c>
      <c r="C68" s="202">
        <v>3.81</v>
      </c>
      <c r="D68" s="203"/>
      <c r="E68" s="204">
        <v>-8.74</v>
      </c>
      <c r="F68" s="204"/>
      <c r="G68" s="94">
        <f>(C63-C58)/C58*100/365*365</f>
        <v>3.8101896355850733</v>
      </c>
      <c r="H68" s="94"/>
      <c r="I68" s="64"/>
      <c r="J68" s="64"/>
      <c r="K68" s="29" t="b">
        <f t="shared" ref="K68:K84" si="14">N68=B68</f>
        <v>1</v>
      </c>
      <c r="L68" s="72" t="b">
        <f t="shared" si="12"/>
        <v>1</v>
      </c>
      <c r="M68" s="69">
        <f t="shared" si="13"/>
        <v>0</v>
      </c>
      <c r="N68" s="51" t="s">
        <v>24</v>
      </c>
      <c r="O68" s="236">
        <v>-8.74</v>
      </c>
      <c r="P68" s="237"/>
      <c r="X68" s="46" t="s">
        <v>26</v>
      </c>
      <c r="Y68" s="15" t="s">
        <v>0</v>
      </c>
      <c r="Z68" s="21" t="s">
        <v>0</v>
      </c>
    </row>
    <row r="69" spans="2:26" ht="19.2">
      <c r="B69" s="8" t="s">
        <v>25</v>
      </c>
      <c r="C69" s="202">
        <v>5.69</v>
      </c>
      <c r="D69" s="203"/>
      <c r="E69" s="205">
        <v>-14.25</v>
      </c>
      <c r="F69" s="205"/>
      <c r="G69" s="94">
        <f>(C64-C59)/C59*100/365*365</f>
        <v>5.6942884299662913</v>
      </c>
      <c r="H69" s="64"/>
      <c r="I69" s="64"/>
      <c r="J69" s="64"/>
      <c r="K69" s="29" t="b">
        <f t="shared" si="14"/>
        <v>1</v>
      </c>
      <c r="L69" s="72" t="b">
        <f t="shared" si="12"/>
        <v>1</v>
      </c>
      <c r="M69" s="69">
        <f t="shared" si="13"/>
        <v>0</v>
      </c>
      <c r="N69" s="51" t="s">
        <v>25</v>
      </c>
      <c r="O69" s="236">
        <v>-14.25</v>
      </c>
      <c r="P69" s="237"/>
      <c r="Q69" s="85">
        <v>43691</v>
      </c>
      <c r="R69" s="86" t="s">
        <v>150</v>
      </c>
      <c r="S69" s="87">
        <v>111.31</v>
      </c>
      <c r="T69" s="83"/>
      <c r="U69" s="83"/>
      <c r="V69" s="83"/>
      <c r="X69" s="45" t="s">
        <v>121</v>
      </c>
      <c r="Y69" s="15"/>
      <c r="Z69" s="21"/>
    </row>
    <row r="70" spans="2:26" ht="14.4" thickBot="1">
      <c r="B70" s="8" t="s">
        <v>26</v>
      </c>
      <c r="C70" s="196">
        <f>G70</f>
        <v>2.3959265691777873</v>
      </c>
      <c r="D70" s="197"/>
      <c r="E70" s="198">
        <v>0</v>
      </c>
      <c r="F70" s="198"/>
      <c r="G70" s="94">
        <f>(C65-V73)/V73*100/365*W73</f>
        <v>2.3959265691777873</v>
      </c>
      <c r="H70" s="64"/>
      <c r="I70" s="64"/>
      <c r="J70" s="64"/>
      <c r="K70" s="29" t="b">
        <f t="shared" si="14"/>
        <v>1</v>
      </c>
      <c r="L70" s="72" t="b">
        <f t="shared" si="12"/>
        <v>1</v>
      </c>
      <c r="M70" s="69">
        <f t="shared" si="13"/>
        <v>0</v>
      </c>
      <c r="N70" s="55" t="s">
        <v>26</v>
      </c>
      <c r="O70" s="179">
        <v>0</v>
      </c>
      <c r="P70" s="180"/>
      <c r="Q70" s="90">
        <v>43521</v>
      </c>
      <c r="R70" s="91" t="s">
        <v>150</v>
      </c>
      <c r="S70" s="92">
        <v>123.12</v>
      </c>
      <c r="T70" s="83"/>
      <c r="U70" s="83"/>
      <c r="V70" s="83"/>
      <c r="X70" s="46" t="s">
        <v>24</v>
      </c>
      <c r="Y70" s="15">
        <v>114.07692536361994</v>
      </c>
      <c r="Z70" s="21">
        <v>43462</v>
      </c>
    </row>
    <row r="71" spans="2:26">
      <c r="B71" s="8" t="s">
        <v>27</v>
      </c>
      <c r="C71" s="196">
        <f>G71</f>
        <v>1.0171009042886572</v>
      </c>
      <c r="D71" s="197"/>
      <c r="E71" s="198">
        <v>0</v>
      </c>
      <c r="F71" s="198"/>
      <c r="G71" s="94">
        <f>(C66-V75)/V75*100/365*W75</f>
        <v>1.0171009042886572</v>
      </c>
      <c r="H71" s="64"/>
      <c r="I71" s="64"/>
      <c r="J71" s="64"/>
      <c r="K71" s="29" t="b">
        <f t="shared" si="14"/>
        <v>1</v>
      </c>
      <c r="L71" s="72" t="b">
        <f t="shared" si="12"/>
        <v>1</v>
      </c>
      <c r="M71" s="69">
        <f t="shared" si="13"/>
        <v>0</v>
      </c>
      <c r="N71" s="56" t="s">
        <v>27</v>
      </c>
      <c r="O71" s="179">
        <v>0</v>
      </c>
      <c r="P71" s="180"/>
      <c r="Q71" s="85">
        <v>43691</v>
      </c>
      <c r="R71" s="86" t="s">
        <v>151</v>
      </c>
      <c r="S71" s="87">
        <v>113.83</v>
      </c>
      <c r="T71" s="83"/>
      <c r="U71" s="83"/>
      <c r="V71" s="83"/>
      <c r="X71" s="46" t="s">
        <v>25</v>
      </c>
      <c r="Y71" s="15">
        <v>115.36384918679153</v>
      </c>
      <c r="Z71" s="21">
        <v>43462</v>
      </c>
    </row>
    <row r="72" spans="2:26" ht="19.8" thickBot="1">
      <c r="B72" s="7" t="s">
        <v>119</v>
      </c>
      <c r="C72" s="107" t="s">
        <v>147</v>
      </c>
      <c r="D72" s="107" t="s">
        <v>148</v>
      </c>
      <c r="E72" s="82" t="s">
        <v>147</v>
      </c>
      <c r="F72" s="82" t="s">
        <v>148</v>
      </c>
      <c r="G72" s="33"/>
      <c r="H72" s="65"/>
      <c r="I72" s="65"/>
      <c r="J72" s="65"/>
      <c r="K72" s="29" t="b">
        <f t="shared" si="14"/>
        <v>1</v>
      </c>
      <c r="L72" s="72" t="b">
        <f>O72=E72</f>
        <v>1</v>
      </c>
      <c r="M72" s="72" t="b">
        <f t="shared" ref="M72:M77" si="15">P72=F72</f>
        <v>1</v>
      </c>
      <c r="N72" s="51" t="s">
        <v>119</v>
      </c>
      <c r="O72" s="20" t="s">
        <v>147</v>
      </c>
      <c r="P72" s="20" t="s">
        <v>148</v>
      </c>
      <c r="Q72" s="90">
        <v>43558</v>
      </c>
      <c r="R72" s="91" t="s">
        <v>151</v>
      </c>
      <c r="S72" s="92">
        <v>124.97</v>
      </c>
      <c r="T72" s="83"/>
      <c r="U72" s="83"/>
      <c r="V72" s="83"/>
      <c r="X72" s="46" t="s">
        <v>26</v>
      </c>
      <c r="Y72" s="15" t="s">
        <v>0</v>
      </c>
      <c r="Z72" s="21" t="s">
        <v>0</v>
      </c>
    </row>
    <row r="73" spans="2:26" ht="19.2">
      <c r="B73" s="8" t="s">
        <v>24</v>
      </c>
      <c r="C73" s="4">
        <f>S69</f>
        <v>111.31</v>
      </c>
      <c r="D73" s="9">
        <f>Q69</f>
        <v>43691</v>
      </c>
      <c r="E73" s="4">
        <v>111.3</v>
      </c>
      <c r="F73" s="9">
        <v>43402</v>
      </c>
      <c r="G73" s="33">
        <f>S69</f>
        <v>111.31</v>
      </c>
      <c r="H73" s="66">
        <f>Q69</f>
        <v>43691</v>
      </c>
      <c r="I73" s="66" t="b">
        <f t="shared" ref="I73:J76" si="16">G73=C73</f>
        <v>1</v>
      </c>
      <c r="J73" s="66" t="b">
        <f t="shared" si="16"/>
        <v>1</v>
      </c>
      <c r="K73" s="29" t="b">
        <f t="shared" si="14"/>
        <v>1</v>
      </c>
      <c r="L73" s="72" t="b">
        <f t="shared" ref="L73:L85" si="17">O73=E73</f>
        <v>1</v>
      </c>
      <c r="M73" s="72" t="b">
        <f t="shared" si="15"/>
        <v>1</v>
      </c>
      <c r="N73" s="51" t="s">
        <v>24</v>
      </c>
      <c r="O73" s="15">
        <v>111.3</v>
      </c>
      <c r="P73" s="21">
        <v>43402</v>
      </c>
      <c r="Q73" s="85">
        <v>43691</v>
      </c>
      <c r="R73" s="86" t="s">
        <v>152</v>
      </c>
      <c r="S73" s="87">
        <v>111.77</v>
      </c>
      <c r="T73" s="31">
        <v>43616</v>
      </c>
      <c r="U73" s="14" t="s">
        <v>152</v>
      </c>
      <c r="V73" s="19">
        <v>115.55</v>
      </c>
      <c r="W73" s="18">
        <f>Q81-T73+1</f>
        <v>215</v>
      </c>
      <c r="X73" s="40" t="s">
        <v>139</v>
      </c>
      <c r="Y73" s="240">
        <v>3.6211540966350002</v>
      </c>
      <c r="Z73" s="240"/>
    </row>
    <row r="74" spans="2:26" ht="14.4" thickBot="1">
      <c r="B74" s="8" t="s">
        <v>25</v>
      </c>
      <c r="C74" s="4">
        <f>S71</f>
        <v>113.83</v>
      </c>
      <c r="D74" s="9">
        <f>Q71</f>
        <v>43691</v>
      </c>
      <c r="E74" s="108">
        <v>112.23092842627571</v>
      </c>
      <c r="F74" s="109">
        <v>43402</v>
      </c>
      <c r="G74" s="33">
        <f>S71</f>
        <v>113.83</v>
      </c>
      <c r="H74" s="66">
        <f>Q71</f>
        <v>43691</v>
      </c>
      <c r="I74" s="66" t="b">
        <f t="shared" si="16"/>
        <v>1</v>
      </c>
      <c r="J74" s="66" t="b">
        <f t="shared" si="16"/>
        <v>1</v>
      </c>
      <c r="K74" s="29" t="b">
        <f t="shared" si="14"/>
        <v>1</v>
      </c>
      <c r="L74" s="72" t="b">
        <f>O74=E74</f>
        <v>1</v>
      </c>
      <c r="M74" s="72" t="b">
        <f t="shared" si="15"/>
        <v>1</v>
      </c>
      <c r="N74" s="51" t="s">
        <v>25</v>
      </c>
      <c r="O74" s="15">
        <v>112.23092842627571</v>
      </c>
      <c r="P74" s="21">
        <v>43402</v>
      </c>
      <c r="Q74" s="90">
        <v>43648</v>
      </c>
      <c r="R74" s="91" t="s">
        <v>152</v>
      </c>
      <c r="S74" s="92">
        <v>121.66</v>
      </c>
      <c r="T74" s="83"/>
      <c r="U74" s="83"/>
      <c r="V74" s="83"/>
      <c r="W74" s="18"/>
      <c r="X74" s="41" t="s">
        <v>49</v>
      </c>
      <c r="Y74" s="241">
        <v>2.5265779719700001</v>
      </c>
      <c r="Z74" s="241"/>
    </row>
    <row r="75" spans="2:26">
      <c r="B75" s="8" t="s">
        <v>26</v>
      </c>
      <c r="C75" s="108">
        <f>S73</f>
        <v>111.77</v>
      </c>
      <c r="D75" s="9">
        <f>Q73</f>
        <v>43691</v>
      </c>
      <c r="E75" s="37">
        <v>0</v>
      </c>
      <c r="F75" s="9" t="s">
        <v>0</v>
      </c>
      <c r="G75" s="33">
        <f>S73</f>
        <v>111.77</v>
      </c>
      <c r="H75" s="66">
        <f>Q73</f>
        <v>43691</v>
      </c>
      <c r="I75" s="66" t="b">
        <f t="shared" si="16"/>
        <v>1</v>
      </c>
      <c r="J75" s="66" t="b">
        <f t="shared" si="16"/>
        <v>1</v>
      </c>
      <c r="K75" s="29" t="b">
        <f t="shared" si="14"/>
        <v>1</v>
      </c>
      <c r="L75" s="72" t="b">
        <f t="shared" si="17"/>
        <v>1</v>
      </c>
      <c r="M75" s="72" t="b">
        <f t="shared" si="15"/>
        <v>1</v>
      </c>
      <c r="N75" s="55" t="s">
        <v>26</v>
      </c>
      <c r="O75" s="80">
        <v>0</v>
      </c>
      <c r="P75" s="9" t="s">
        <v>0</v>
      </c>
      <c r="Q75" s="85">
        <v>43826</v>
      </c>
      <c r="R75" s="86" t="s">
        <v>153</v>
      </c>
      <c r="S75" s="87">
        <v>119.17</v>
      </c>
      <c r="T75" s="31">
        <v>43731</v>
      </c>
      <c r="U75" s="14" t="s">
        <v>153</v>
      </c>
      <c r="V75" s="19">
        <v>114.75</v>
      </c>
      <c r="W75" s="18">
        <f>+Q81-T75+1</f>
        <v>100</v>
      </c>
      <c r="X75" s="42" t="s">
        <v>50</v>
      </c>
      <c r="Y75" s="241" t="s">
        <v>0</v>
      </c>
      <c r="Z75" s="241"/>
    </row>
    <row r="76" spans="2:26" ht="39">
      <c r="B76" s="8" t="s">
        <v>27</v>
      </c>
      <c r="C76" s="108">
        <f>S76</f>
        <v>112.5</v>
      </c>
      <c r="D76" s="9" t="s">
        <v>154</v>
      </c>
      <c r="E76" s="37">
        <v>0</v>
      </c>
      <c r="F76" s="9" t="s">
        <v>0</v>
      </c>
      <c r="G76" s="33">
        <f>S76</f>
        <v>112.5</v>
      </c>
      <c r="H76" s="93" t="s">
        <v>154</v>
      </c>
      <c r="I76" s="66" t="b">
        <f t="shared" si="16"/>
        <v>1</v>
      </c>
      <c r="J76" s="66" t="b">
        <f t="shared" si="16"/>
        <v>1</v>
      </c>
      <c r="K76" s="29" t="b">
        <f t="shared" si="14"/>
        <v>1</v>
      </c>
      <c r="L76" s="72" t="b">
        <f t="shared" si="17"/>
        <v>1</v>
      </c>
      <c r="M76" s="72" t="b">
        <f t="shared" si="15"/>
        <v>1</v>
      </c>
      <c r="N76" s="56" t="s">
        <v>27</v>
      </c>
      <c r="O76" s="80">
        <v>0</v>
      </c>
      <c r="P76" s="9" t="s">
        <v>0</v>
      </c>
      <c r="Q76" s="88">
        <v>43746</v>
      </c>
      <c r="R76" s="38" t="s">
        <v>153</v>
      </c>
      <c r="S76" s="89">
        <v>112.5</v>
      </c>
      <c r="T76" s="83"/>
      <c r="U76" s="83"/>
      <c r="V76" s="83"/>
      <c r="X76" s="42" t="s">
        <v>51</v>
      </c>
      <c r="Y76" s="241">
        <v>0.43</v>
      </c>
      <c r="Z76" s="241"/>
    </row>
    <row r="77" spans="2:26" ht="19.8" thickBot="1">
      <c r="B77" s="7" t="s">
        <v>120</v>
      </c>
      <c r="C77" s="107" t="s">
        <v>147</v>
      </c>
      <c r="D77" s="107" t="s">
        <v>148</v>
      </c>
      <c r="E77" s="79" t="s">
        <v>147</v>
      </c>
      <c r="F77" s="79" t="s">
        <v>148</v>
      </c>
      <c r="G77" s="33"/>
      <c r="K77" s="29" t="b">
        <f t="shared" si="14"/>
        <v>1</v>
      </c>
      <c r="L77" s="72" t="b">
        <f t="shared" si="17"/>
        <v>1</v>
      </c>
      <c r="M77" s="72" t="b">
        <f t="shared" si="15"/>
        <v>1</v>
      </c>
      <c r="N77" s="51" t="s">
        <v>120</v>
      </c>
      <c r="O77" s="79" t="s">
        <v>147</v>
      </c>
      <c r="P77" s="79" t="s">
        <v>148</v>
      </c>
      <c r="Q77" s="90">
        <v>43740</v>
      </c>
      <c r="R77" s="91" t="s">
        <v>153</v>
      </c>
      <c r="S77" s="92">
        <v>112.5</v>
      </c>
      <c r="T77" s="83"/>
      <c r="U77" s="83"/>
      <c r="V77" s="83"/>
      <c r="X77" s="42" t="s">
        <v>52</v>
      </c>
      <c r="Y77" s="241">
        <v>0.09</v>
      </c>
      <c r="Z77" s="241"/>
    </row>
    <row r="78" spans="2:26">
      <c r="B78" s="8" t="s">
        <v>24</v>
      </c>
      <c r="C78" s="4">
        <f>S70</f>
        <v>123.12</v>
      </c>
      <c r="D78" s="9">
        <v>43521</v>
      </c>
      <c r="E78" s="4">
        <v>135.53</v>
      </c>
      <c r="F78" s="9">
        <v>43126</v>
      </c>
      <c r="G78" s="33">
        <f>S70</f>
        <v>123.12</v>
      </c>
      <c r="H78" s="66">
        <f>Q70</f>
        <v>43521</v>
      </c>
      <c r="I78" s="66" t="b">
        <f t="shared" ref="I78:J81" si="18">G78=C78</f>
        <v>1</v>
      </c>
      <c r="J78" s="66" t="b">
        <f t="shared" si="18"/>
        <v>1</v>
      </c>
      <c r="K78" s="29" t="b">
        <f t="shared" si="14"/>
        <v>1</v>
      </c>
      <c r="L78" s="72" t="b">
        <f>O78=E78</f>
        <v>1</v>
      </c>
      <c r="M78" s="72" t="b">
        <f>P78=F78</f>
        <v>1</v>
      </c>
      <c r="N78" s="51" t="s">
        <v>24</v>
      </c>
      <c r="O78" s="15">
        <v>135.53</v>
      </c>
      <c r="P78" s="21">
        <v>43126</v>
      </c>
      <c r="Q78" s="31">
        <v>43830</v>
      </c>
      <c r="R78" s="14" t="s">
        <v>150</v>
      </c>
      <c r="S78" s="19">
        <v>118.79</v>
      </c>
      <c r="T78" s="32">
        <v>96009.327999999994</v>
      </c>
      <c r="U78" s="19">
        <v>11404879.140000001</v>
      </c>
      <c r="V78" s="83"/>
      <c r="X78" s="42" t="s">
        <v>54</v>
      </c>
      <c r="Y78" s="241">
        <v>0.54317311449500005</v>
      </c>
      <c r="Z78" s="241"/>
    </row>
    <row r="79" spans="2:26">
      <c r="B79" s="8" t="s">
        <v>25</v>
      </c>
      <c r="C79" s="4">
        <f>S72</f>
        <v>124.97</v>
      </c>
      <c r="D79" s="9">
        <v>43558</v>
      </c>
      <c r="E79" s="4">
        <v>129.07</v>
      </c>
      <c r="F79" s="9">
        <v>43257</v>
      </c>
      <c r="G79" s="33">
        <f>S72</f>
        <v>124.97</v>
      </c>
      <c r="H79" s="66">
        <f>Q72</f>
        <v>43558</v>
      </c>
      <c r="I79" s="66" t="b">
        <f t="shared" si="18"/>
        <v>1</v>
      </c>
      <c r="J79" s="66" t="b">
        <f t="shared" si="18"/>
        <v>1</v>
      </c>
      <c r="K79" s="29" t="b">
        <f t="shared" si="14"/>
        <v>1</v>
      </c>
      <c r="L79" s="72" t="b">
        <f t="shared" si="17"/>
        <v>1</v>
      </c>
      <c r="M79" s="72" t="b">
        <f t="shared" ref="M79:M85" si="19">P79=F79</f>
        <v>1</v>
      </c>
      <c r="N79" s="51" t="s">
        <v>25</v>
      </c>
      <c r="O79" s="15">
        <v>129.07</v>
      </c>
      <c r="P79" s="21">
        <v>43257</v>
      </c>
      <c r="Q79" s="31">
        <v>43830</v>
      </c>
      <c r="R79" s="14" t="s">
        <v>151</v>
      </c>
      <c r="S79" s="19">
        <v>122.32</v>
      </c>
      <c r="T79" s="32">
        <v>34.201999999999998</v>
      </c>
      <c r="U79" s="19">
        <v>4183.4399999999996</v>
      </c>
      <c r="V79" s="83"/>
      <c r="X79" s="42" t="s">
        <v>55</v>
      </c>
      <c r="Y79" s="241" t="s">
        <v>0</v>
      </c>
      <c r="Z79" s="241"/>
    </row>
    <row r="80" spans="2:26">
      <c r="B80" s="8" t="s">
        <v>26</v>
      </c>
      <c r="C80" s="4">
        <f>S74</f>
        <v>121.66</v>
      </c>
      <c r="D80" s="9">
        <v>43648</v>
      </c>
      <c r="E80" s="4" t="s">
        <v>0</v>
      </c>
      <c r="F80" s="9" t="s">
        <v>0</v>
      </c>
      <c r="G80" s="33">
        <f>S74</f>
        <v>121.66</v>
      </c>
      <c r="H80" s="65">
        <f>Q74</f>
        <v>43648</v>
      </c>
      <c r="I80" s="66" t="b">
        <f t="shared" si="18"/>
        <v>1</v>
      </c>
      <c r="J80" s="66" t="b">
        <f t="shared" si="18"/>
        <v>1</v>
      </c>
      <c r="K80" s="29" t="b">
        <f t="shared" si="14"/>
        <v>1</v>
      </c>
      <c r="L80" s="72" t="b">
        <f t="shared" si="17"/>
        <v>1</v>
      </c>
      <c r="M80" s="72" t="b">
        <f t="shared" si="19"/>
        <v>1</v>
      </c>
      <c r="N80" s="55" t="s">
        <v>26</v>
      </c>
      <c r="O80" s="15" t="s">
        <v>0</v>
      </c>
      <c r="P80" s="9" t="s">
        <v>0</v>
      </c>
      <c r="Q80" s="31">
        <v>43830</v>
      </c>
      <c r="R80" s="14" t="s">
        <v>152</v>
      </c>
      <c r="S80" s="19">
        <v>120.25</v>
      </c>
      <c r="T80" s="32">
        <v>546.81299999999999</v>
      </c>
      <c r="U80" s="19">
        <v>65754.48</v>
      </c>
      <c r="V80" s="83"/>
    </row>
    <row r="81" spans="2:22">
      <c r="B81" s="8" t="s">
        <v>27</v>
      </c>
      <c r="C81" s="4">
        <f>S75</f>
        <v>119.17</v>
      </c>
      <c r="D81" s="9">
        <v>43826</v>
      </c>
      <c r="E81" s="37">
        <v>0</v>
      </c>
      <c r="F81" s="9" t="s">
        <v>0</v>
      </c>
      <c r="G81" s="33">
        <f>S75</f>
        <v>119.17</v>
      </c>
      <c r="H81" s="65">
        <f>Q75</f>
        <v>43826</v>
      </c>
      <c r="I81" s="66" t="b">
        <f t="shared" si="18"/>
        <v>1</v>
      </c>
      <c r="J81" s="66" t="b">
        <f t="shared" si="18"/>
        <v>1</v>
      </c>
      <c r="K81" s="29" t="b">
        <f t="shared" si="14"/>
        <v>1</v>
      </c>
      <c r="L81" s="72" t="b">
        <f>O81=E81</f>
        <v>1</v>
      </c>
      <c r="M81" s="72" t="b">
        <f t="shared" si="19"/>
        <v>1</v>
      </c>
      <c r="N81" s="56" t="s">
        <v>27</v>
      </c>
      <c r="O81" s="80">
        <v>0</v>
      </c>
      <c r="P81" s="9" t="s">
        <v>0</v>
      </c>
      <c r="Q81" s="31">
        <v>43830</v>
      </c>
      <c r="R81" s="14" t="s">
        <v>153</v>
      </c>
      <c r="S81" s="19">
        <v>119.01</v>
      </c>
      <c r="T81" s="32">
        <v>90.094999999999999</v>
      </c>
      <c r="U81" s="19">
        <v>10722.25</v>
      </c>
      <c r="V81" s="83"/>
    </row>
    <row r="82" spans="2:22" ht="19.2">
      <c r="B82" s="7" t="s">
        <v>121</v>
      </c>
      <c r="C82" s="79" t="s">
        <v>147</v>
      </c>
      <c r="D82" s="79" t="s">
        <v>148</v>
      </c>
      <c r="E82" s="79" t="s">
        <v>147</v>
      </c>
      <c r="F82" s="79" t="s">
        <v>148</v>
      </c>
      <c r="G82" s="33"/>
      <c r="H82" s="65"/>
      <c r="I82" s="65"/>
      <c r="J82" s="65"/>
      <c r="K82" s="29" t="b">
        <f t="shared" si="14"/>
        <v>1</v>
      </c>
      <c r="L82" s="72" t="b">
        <f t="shared" si="17"/>
        <v>1</v>
      </c>
      <c r="M82" s="72" t="b">
        <f t="shared" si="19"/>
        <v>1</v>
      </c>
      <c r="N82" s="51" t="s">
        <v>121</v>
      </c>
      <c r="O82" s="79" t="s">
        <v>147</v>
      </c>
      <c r="P82" s="79" t="s">
        <v>148</v>
      </c>
    </row>
    <row r="83" spans="2:22">
      <c r="B83" s="8" t="s">
        <v>24</v>
      </c>
      <c r="C83" s="4">
        <v>118.79</v>
      </c>
      <c r="D83" s="9">
        <v>43830</v>
      </c>
      <c r="E83" s="108">
        <v>114.07692536361994</v>
      </c>
      <c r="F83" s="109">
        <v>43462</v>
      </c>
      <c r="G83" s="33" t="b">
        <f>S78=C83</f>
        <v>1</v>
      </c>
      <c r="H83" s="65"/>
      <c r="I83" s="65"/>
      <c r="J83" s="65"/>
      <c r="K83" s="29" t="b">
        <f t="shared" si="14"/>
        <v>1</v>
      </c>
      <c r="L83" s="72" t="b">
        <f t="shared" si="17"/>
        <v>1</v>
      </c>
      <c r="M83" s="72" t="b">
        <f t="shared" si="19"/>
        <v>1</v>
      </c>
      <c r="N83" s="51" t="s">
        <v>24</v>
      </c>
      <c r="O83" s="15">
        <v>114.07692536361994</v>
      </c>
      <c r="P83" s="21">
        <v>43462</v>
      </c>
    </row>
    <row r="84" spans="2:22">
      <c r="B84" s="8" t="s">
        <v>25</v>
      </c>
      <c r="C84" s="4">
        <v>122.32</v>
      </c>
      <c r="D84" s="9">
        <v>43830</v>
      </c>
      <c r="E84" s="108">
        <v>115.36384918679153</v>
      </c>
      <c r="F84" s="109">
        <v>43462</v>
      </c>
      <c r="G84" s="33" t="b">
        <f>S79=C84</f>
        <v>1</v>
      </c>
      <c r="H84" s="65"/>
      <c r="I84" s="65"/>
      <c r="J84" s="65"/>
      <c r="K84" s="29" t="b">
        <f t="shared" si="14"/>
        <v>1</v>
      </c>
      <c r="L84" s="72" t="b">
        <f t="shared" si="17"/>
        <v>1</v>
      </c>
      <c r="M84" s="72" t="b">
        <f t="shared" si="19"/>
        <v>1</v>
      </c>
      <c r="N84" s="51" t="s">
        <v>25</v>
      </c>
      <c r="O84" s="15">
        <v>115.36384918679153</v>
      </c>
      <c r="P84" s="21">
        <v>43462</v>
      </c>
    </row>
    <row r="85" spans="2:22">
      <c r="B85" s="8" t="s">
        <v>26</v>
      </c>
      <c r="C85" s="4">
        <v>120.25</v>
      </c>
      <c r="D85" s="9">
        <v>43830</v>
      </c>
      <c r="E85" s="4" t="s">
        <v>0</v>
      </c>
      <c r="F85" s="9" t="s">
        <v>0</v>
      </c>
      <c r="G85" s="33" t="b">
        <f>S80=C85</f>
        <v>1</v>
      </c>
      <c r="H85" s="65"/>
      <c r="I85" s="65"/>
      <c r="J85" s="65"/>
      <c r="K85" s="29" t="b">
        <f>N85=B85</f>
        <v>1</v>
      </c>
      <c r="L85" s="72" t="b">
        <f t="shared" si="17"/>
        <v>1</v>
      </c>
      <c r="M85" s="72" t="b">
        <f t="shared" si="19"/>
        <v>1</v>
      </c>
      <c r="N85" s="55" t="s">
        <v>26</v>
      </c>
      <c r="O85" s="15" t="s">
        <v>0</v>
      </c>
      <c r="P85" s="21" t="s">
        <v>0</v>
      </c>
    </row>
    <row r="86" spans="2:22">
      <c r="B86" s="8" t="s">
        <v>27</v>
      </c>
      <c r="C86" s="4">
        <v>119.01</v>
      </c>
      <c r="D86" s="9">
        <v>43830</v>
      </c>
      <c r="E86" s="4">
        <v>0</v>
      </c>
      <c r="F86" s="9">
        <v>0</v>
      </c>
      <c r="G86" s="33" t="b">
        <f>S81=C86</f>
        <v>1</v>
      </c>
      <c r="H86" s="65"/>
      <c r="I86" s="65"/>
      <c r="J86" s="65"/>
      <c r="K86" s="29" t="b">
        <f>N86=B86</f>
        <v>1</v>
      </c>
      <c r="L86" s="72" t="b">
        <f>O86=E86</f>
        <v>1</v>
      </c>
      <c r="M86" s="72" t="b">
        <f>P86=F86</f>
        <v>1</v>
      </c>
      <c r="N86" s="56" t="s">
        <v>27</v>
      </c>
      <c r="O86" s="15"/>
      <c r="P86" s="21"/>
    </row>
    <row r="87" spans="2:22">
      <c r="B87" s="3" t="s">
        <v>139</v>
      </c>
      <c r="C87" s="192">
        <f>0.01+3.65</f>
        <v>3.6599999999999997</v>
      </c>
      <c r="D87" s="192"/>
      <c r="E87" s="193">
        <v>3.6211540966350002</v>
      </c>
      <c r="F87" s="193"/>
      <c r="G87" s="35">
        <f>+'rachunek wyniku'!C9</f>
        <v>425</v>
      </c>
      <c r="H87" s="22">
        <f>ROUND(G87/$C$19*100,4)</f>
        <v>3.6597</v>
      </c>
      <c r="I87" s="22"/>
      <c r="J87" s="68"/>
      <c r="K87" s="34">
        <f>+H87-C87</f>
        <v>-2.9999999999974492E-4</v>
      </c>
      <c r="L87" s="36"/>
      <c r="M87" s="70"/>
      <c r="N87" s="48" t="s">
        <v>139</v>
      </c>
      <c r="O87" s="240">
        <v>3.6211540966350002</v>
      </c>
      <c r="P87" s="240"/>
    </row>
    <row r="88" spans="2:22">
      <c r="B88" s="2" t="s">
        <v>49</v>
      </c>
      <c r="C88" s="186">
        <f>2.53</f>
        <v>2.5299999999999998</v>
      </c>
      <c r="D88" s="186"/>
      <c r="E88" s="187">
        <v>2.5265779719700001</v>
      </c>
      <c r="F88" s="187"/>
      <c r="G88" s="34">
        <f>'rachunek wyniku'!C10</f>
        <v>294</v>
      </c>
      <c r="H88" s="22">
        <f t="shared" ref="H88:H93" si="20">ROUND(G88/$C$19*100,4)</f>
        <v>2.5316000000000001</v>
      </c>
      <c r="I88" s="22"/>
      <c r="J88" s="68"/>
      <c r="K88" s="34">
        <f t="shared" ref="K88:K93" si="21">+H88-C88</f>
        <v>1.6000000000002679E-3</v>
      </c>
      <c r="L88" s="36"/>
      <c r="M88" s="70"/>
      <c r="N88" s="49" t="s">
        <v>49</v>
      </c>
      <c r="O88" s="241">
        <v>2.5265779719700001</v>
      </c>
      <c r="P88" s="241"/>
    </row>
    <row r="89" spans="2:22">
      <c r="B89" s="2" t="s">
        <v>50</v>
      </c>
      <c r="C89" s="189">
        <v>0</v>
      </c>
      <c r="D89" s="189"/>
      <c r="E89" s="188">
        <v>0</v>
      </c>
      <c r="F89" s="188"/>
      <c r="G89" s="34">
        <f>'rachunek wyniku'!C11</f>
        <v>0</v>
      </c>
      <c r="H89" s="22">
        <f t="shared" si="20"/>
        <v>0</v>
      </c>
      <c r="I89" s="22"/>
      <c r="J89" s="68"/>
      <c r="K89" s="34">
        <f t="shared" si="21"/>
        <v>0</v>
      </c>
      <c r="L89" s="36"/>
      <c r="M89" s="70"/>
      <c r="N89" s="49" t="s">
        <v>50</v>
      </c>
      <c r="O89" s="241" t="s">
        <v>0</v>
      </c>
      <c r="P89" s="241"/>
    </row>
    <row r="90" spans="2:22">
      <c r="B90" s="2" t="s">
        <v>51</v>
      </c>
      <c r="C90" s="186">
        <f>0.41</f>
        <v>0.41</v>
      </c>
      <c r="D90" s="186"/>
      <c r="E90" s="187">
        <v>0.42795457505700002</v>
      </c>
      <c r="F90" s="187"/>
      <c r="G90" s="34">
        <f>'rachunek wyniku'!C12</f>
        <v>48</v>
      </c>
      <c r="H90" s="22">
        <f t="shared" si="20"/>
        <v>0.4133</v>
      </c>
      <c r="I90" s="22"/>
      <c r="J90" s="68"/>
      <c r="K90" s="34">
        <f t="shared" si="21"/>
        <v>3.3000000000000251E-3</v>
      </c>
      <c r="L90" s="36"/>
      <c r="M90" s="70"/>
      <c r="N90" s="49" t="s">
        <v>51</v>
      </c>
      <c r="O90" s="241">
        <v>0.43</v>
      </c>
      <c r="P90" s="241"/>
    </row>
    <row r="91" spans="2:22">
      <c r="B91" s="2" t="s">
        <v>52</v>
      </c>
      <c r="C91" s="186">
        <v>7.8E-2</v>
      </c>
      <c r="D91" s="186"/>
      <c r="E91" s="187">
        <v>9.0528852416000005E-2</v>
      </c>
      <c r="F91" s="187"/>
      <c r="G91" s="34">
        <f>'rachunek wyniku'!C13</f>
        <v>9</v>
      </c>
      <c r="H91" s="22">
        <f t="shared" si="20"/>
        <v>7.7499999999999999E-2</v>
      </c>
      <c r="I91" s="22"/>
      <c r="J91" s="68"/>
      <c r="K91" s="34">
        <f t="shared" si="21"/>
        <v>-5.0000000000000044E-4</v>
      </c>
      <c r="L91" s="36"/>
      <c r="M91" s="70"/>
      <c r="N91" s="49" t="s">
        <v>52</v>
      </c>
      <c r="O91" s="241">
        <v>0.09</v>
      </c>
      <c r="P91" s="241"/>
    </row>
    <row r="92" spans="2:22">
      <c r="B92" s="2" t="s">
        <v>54</v>
      </c>
      <c r="C92" s="186">
        <v>0.62</v>
      </c>
      <c r="D92" s="186"/>
      <c r="E92" s="187">
        <v>0.54317311449500005</v>
      </c>
      <c r="F92" s="187"/>
      <c r="G92" s="34">
        <f>'rachunek wyniku'!C15</f>
        <v>72</v>
      </c>
      <c r="H92" s="22">
        <f t="shared" si="20"/>
        <v>0.62</v>
      </c>
      <c r="I92" s="22"/>
      <c r="J92" s="68"/>
      <c r="K92" s="34">
        <f t="shared" si="21"/>
        <v>0</v>
      </c>
      <c r="L92" s="36"/>
      <c r="M92" s="70"/>
      <c r="N92" s="49" t="s">
        <v>54</v>
      </c>
      <c r="O92" s="241">
        <v>0.54317311449500005</v>
      </c>
      <c r="P92" s="241"/>
    </row>
    <row r="93" spans="2:22">
      <c r="B93" s="2" t="s">
        <v>55</v>
      </c>
      <c r="C93" s="188">
        <v>0</v>
      </c>
      <c r="D93" s="188"/>
      <c r="E93" s="188">
        <v>0</v>
      </c>
      <c r="F93" s="188"/>
      <c r="G93" s="34">
        <f>'rachunek wyniku'!C16</f>
        <v>0</v>
      </c>
      <c r="H93" s="22">
        <f t="shared" si="20"/>
        <v>0</v>
      </c>
      <c r="I93" s="22"/>
      <c r="J93" s="68"/>
      <c r="K93" s="34">
        <f t="shared" si="21"/>
        <v>0</v>
      </c>
      <c r="L93" s="36"/>
      <c r="M93" s="70"/>
      <c r="N93" s="49" t="s">
        <v>55</v>
      </c>
      <c r="O93" s="241" t="s">
        <v>0</v>
      </c>
      <c r="P93" s="241"/>
    </row>
    <row r="95" spans="2:22" ht="19.8">
      <c r="B95" s="81" t="s">
        <v>156</v>
      </c>
      <c r="C95" s="12"/>
      <c r="D95" s="12"/>
      <c r="E95" s="12"/>
      <c r="F95" s="12"/>
      <c r="G95" s="78"/>
      <c r="H95" s="30"/>
      <c r="I95" s="30"/>
      <c r="J95" s="30"/>
      <c r="K95" s="26"/>
      <c r="L95" s="73"/>
      <c r="M95" s="71"/>
    </row>
    <row r="96" spans="2:22">
      <c r="N96" s="52"/>
    </row>
    <row r="97" spans="2:14">
      <c r="B97" s="11"/>
      <c r="C97" s="12"/>
      <c r="D97" s="12"/>
      <c r="E97" s="12"/>
      <c r="F97" s="12"/>
      <c r="G97" s="78"/>
      <c r="H97" s="30"/>
      <c r="I97" s="30"/>
      <c r="J97" s="30"/>
      <c r="K97" s="26"/>
      <c r="L97" s="73"/>
      <c r="M97" s="71"/>
      <c r="N97" s="52"/>
    </row>
    <row r="98" spans="2:14">
      <c r="N98" s="52"/>
    </row>
    <row r="99" spans="2:14">
      <c r="N99" s="52"/>
    </row>
    <row r="100" spans="2:14">
      <c r="N100" s="52"/>
    </row>
    <row r="101" spans="2:14">
      <c r="N101" s="53"/>
    </row>
    <row r="102" spans="2:14">
      <c r="N102" s="53"/>
    </row>
    <row r="103" spans="2:14">
      <c r="N103" s="53"/>
    </row>
    <row r="104" spans="2:14">
      <c r="N104" s="53"/>
    </row>
    <row r="105" spans="2:14">
      <c r="N105" s="53"/>
    </row>
    <row r="106" spans="2:14">
      <c r="N106" s="53"/>
    </row>
    <row r="107" spans="2:14">
      <c r="N107" s="53"/>
    </row>
    <row r="109" spans="2:14">
      <c r="N109" s="54"/>
    </row>
    <row r="111" spans="2:14">
      <c r="N111" s="54"/>
    </row>
  </sheetData>
  <mergeCells count="298">
    <mergeCell ref="O87:P87"/>
    <mergeCell ref="O88:P88"/>
    <mergeCell ref="O89:P89"/>
    <mergeCell ref="O90:P90"/>
    <mergeCell ref="O91:P91"/>
    <mergeCell ref="O92:P92"/>
    <mergeCell ref="O93:P93"/>
    <mergeCell ref="O60:P60"/>
    <mergeCell ref="O62:P62"/>
    <mergeCell ref="O63:P63"/>
    <mergeCell ref="O64:P64"/>
    <mergeCell ref="O65:P65"/>
    <mergeCell ref="O67:P67"/>
    <mergeCell ref="O68:P68"/>
    <mergeCell ref="O69:P69"/>
    <mergeCell ref="O70:P70"/>
    <mergeCell ref="Y77:Z77"/>
    <mergeCell ref="Y78:Z78"/>
    <mergeCell ref="Y79:Z7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8:P38"/>
    <mergeCell ref="O39:P39"/>
    <mergeCell ref="O40:P40"/>
    <mergeCell ref="O41:P41"/>
    <mergeCell ref="O42:P42"/>
    <mergeCell ref="O43:P43"/>
    <mergeCell ref="O44:P44"/>
    <mergeCell ref="Y56:Z56"/>
    <mergeCell ref="Y57:Z57"/>
    <mergeCell ref="Y58:Z58"/>
    <mergeCell ref="Y59:Z59"/>
    <mergeCell ref="Y60:Z60"/>
    <mergeCell ref="Y73:Z73"/>
    <mergeCell ref="Y74:Z74"/>
    <mergeCell ref="Y75:Z75"/>
    <mergeCell ref="Y76:Z7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:Z2"/>
    <mergeCell ref="Y3:Z3"/>
    <mergeCell ref="Y4:Z4"/>
    <mergeCell ref="Y5:Z5"/>
    <mergeCell ref="Y6:Z6"/>
    <mergeCell ref="Y7:Z7"/>
    <mergeCell ref="Y8:Z8"/>
    <mergeCell ref="Y9:Z9"/>
    <mergeCell ref="Y10:Z10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60:D60"/>
    <mergeCell ref="C61:D61"/>
    <mergeCell ref="E60:F60"/>
    <mergeCell ref="E61:F61"/>
    <mergeCell ref="O45:P45"/>
    <mergeCell ref="O46:P46"/>
    <mergeCell ref="O47:P47"/>
    <mergeCell ref="O48:P48"/>
    <mergeCell ref="O49:P49"/>
    <mergeCell ref="O50:P50"/>
    <mergeCell ref="O55:P55"/>
    <mergeCell ref="O56:P56"/>
    <mergeCell ref="O57:P57"/>
    <mergeCell ref="O58:P58"/>
    <mergeCell ref="O59:P59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C51:D51"/>
    <mergeCell ref="E51:F51"/>
    <mergeCell ref="C46:D46"/>
    <mergeCell ref="E46:F46"/>
    <mergeCell ref="C47:D47"/>
    <mergeCell ref="E47:F47"/>
    <mergeCell ref="C48:D48"/>
    <mergeCell ref="E48:F48"/>
    <mergeCell ref="C5:D5"/>
    <mergeCell ref="E5:F5"/>
    <mergeCell ref="O5:P5"/>
    <mergeCell ref="C6:D6"/>
    <mergeCell ref="E6:F6"/>
    <mergeCell ref="O6:P6"/>
    <mergeCell ref="C7:D7"/>
    <mergeCell ref="E7:F7"/>
    <mergeCell ref="C66:D66"/>
    <mergeCell ref="E66:F66"/>
    <mergeCell ref="C59:D59"/>
    <mergeCell ref="E59:F59"/>
    <mergeCell ref="C62:D62"/>
    <mergeCell ref="E62:F62"/>
    <mergeCell ref="C63:D63"/>
    <mergeCell ref="E63:F63"/>
    <mergeCell ref="C64:D64"/>
    <mergeCell ref="E64:F64"/>
    <mergeCell ref="C65:D65"/>
    <mergeCell ref="E65:F65"/>
    <mergeCell ref="C55:D55"/>
    <mergeCell ref="E55:F55"/>
    <mergeCell ref="C56:D56"/>
    <mergeCell ref="E56:F56"/>
    <mergeCell ref="C2:D2"/>
    <mergeCell ref="E2:F2"/>
    <mergeCell ref="O2:P2"/>
    <mergeCell ref="C3:D3"/>
    <mergeCell ref="E3:F3"/>
    <mergeCell ref="O3:P3"/>
    <mergeCell ref="C4:D4"/>
    <mergeCell ref="E4:F4"/>
    <mergeCell ref="O4:P4"/>
    <mergeCell ref="C8:D8"/>
    <mergeCell ref="E8:F8"/>
    <mergeCell ref="O8:P8"/>
    <mergeCell ref="C9:D9"/>
    <mergeCell ref="E9:F9"/>
    <mergeCell ref="O9:P9"/>
    <mergeCell ref="C71:D71"/>
    <mergeCell ref="E71:F71"/>
    <mergeCell ref="C67:D67"/>
    <mergeCell ref="E67:F67"/>
    <mergeCell ref="C68:D68"/>
    <mergeCell ref="E68:F68"/>
    <mergeCell ref="C69:D69"/>
    <mergeCell ref="E69:F69"/>
    <mergeCell ref="C70:D70"/>
    <mergeCell ref="E70:F70"/>
    <mergeCell ref="C57:D57"/>
    <mergeCell ref="E57:F57"/>
    <mergeCell ref="C58:D58"/>
    <mergeCell ref="E58:F58"/>
    <mergeCell ref="C52:D52"/>
    <mergeCell ref="E52:F52"/>
    <mergeCell ref="C53:D53"/>
    <mergeCell ref="C45:D45"/>
    <mergeCell ref="C10:D10"/>
    <mergeCell ref="E10:F10"/>
    <mergeCell ref="O10:P10"/>
    <mergeCell ref="C11:D11"/>
    <mergeCell ref="E11:F11"/>
    <mergeCell ref="O11:P11"/>
    <mergeCell ref="C12:D12"/>
    <mergeCell ref="E12:F12"/>
    <mergeCell ref="O12:P12"/>
    <mergeCell ref="C13:D13"/>
    <mergeCell ref="E13:F13"/>
    <mergeCell ref="O13:P13"/>
    <mergeCell ref="C14:D14"/>
    <mergeCell ref="E14:F14"/>
    <mergeCell ref="O14:P14"/>
    <mergeCell ref="C15:D15"/>
    <mergeCell ref="E15:F15"/>
    <mergeCell ref="O15:P15"/>
    <mergeCell ref="C19:D19"/>
    <mergeCell ref="E19:F19"/>
    <mergeCell ref="O19:P19"/>
    <mergeCell ref="C87:D87"/>
    <mergeCell ref="E87:F87"/>
    <mergeCell ref="C88:D88"/>
    <mergeCell ref="E88:F88"/>
    <mergeCell ref="C16:D16"/>
    <mergeCell ref="E16:F16"/>
    <mergeCell ref="O16:P16"/>
    <mergeCell ref="C17:D17"/>
    <mergeCell ref="E17:F17"/>
    <mergeCell ref="O17:P17"/>
    <mergeCell ref="C18:D18"/>
    <mergeCell ref="E18:F18"/>
    <mergeCell ref="O18:P18"/>
    <mergeCell ref="E53:F53"/>
    <mergeCell ref="C54:D54"/>
    <mergeCell ref="E54:F54"/>
    <mergeCell ref="C49:D49"/>
    <mergeCell ref="E49:F49"/>
    <mergeCell ref="C50:D50"/>
    <mergeCell ref="E50:F50"/>
    <mergeCell ref="O35:P35"/>
    <mergeCell ref="C92:D92"/>
    <mergeCell ref="E92:F92"/>
    <mergeCell ref="C93:D93"/>
    <mergeCell ref="E93:F93"/>
    <mergeCell ref="C89:D89"/>
    <mergeCell ref="E89:F89"/>
    <mergeCell ref="C90:D90"/>
    <mergeCell ref="E90:F90"/>
    <mergeCell ref="C91:D91"/>
    <mergeCell ref="E91:F91"/>
    <mergeCell ref="K1:P1"/>
    <mergeCell ref="O71:P71"/>
    <mergeCell ref="O36:P36"/>
    <mergeCell ref="O37:P37"/>
    <mergeCell ref="O34:P34"/>
    <mergeCell ref="O51:P51"/>
    <mergeCell ref="O52:P52"/>
    <mergeCell ref="O53:P53"/>
    <mergeCell ref="O54:P54"/>
    <mergeCell ref="O61:P61"/>
    <mergeCell ref="O66:P66"/>
    <mergeCell ref="O7:P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abSelected="1" topLeftCell="A82" workbookViewId="0">
      <selection activeCell="E15" sqref="E15:F15"/>
    </sheetView>
  </sheetViews>
  <sheetFormatPr defaultColWidth="9" defaultRowHeight="13.8"/>
  <cols>
    <col min="1" max="1" width="5.3984375" style="169" customWidth="1"/>
    <col min="2" max="2" width="58.59765625" style="113" customWidth="1"/>
    <col min="3" max="6" width="7.3984375" style="113" customWidth="1"/>
    <col min="7" max="16384" width="9" style="113"/>
  </cols>
  <sheetData>
    <row r="2" spans="2:6" ht="20.25" customHeight="1">
      <c r="B2" s="138" t="s">
        <v>122</v>
      </c>
      <c r="C2" s="265" t="s">
        <v>63</v>
      </c>
      <c r="D2" s="265"/>
      <c r="E2" s="265" t="s">
        <v>64</v>
      </c>
      <c r="F2" s="265"/>
    </row>
    <row r="3" spans="2:6">
      <c r="B3" s="128" t="s">
        <v>1</v>
      </c>
      <c r="C3" s="264">
        <v>-23</v>
      </c>
      <c r="D3" s="264"/>
      <c r="E3" s="264">
        <v>1326</v>
      </c>
      <c r="F3" s="264"/>
    </row>
    <row r="4" spans="2:6">
      <c r="B4" s="116" t="s">
        <v>123</v>
      </c>
      <c r="C4" s="264">
        <v>11509</v>
      </c>
      <c r="D4" s="264"/>
      <c r="E4" s="264">
        <v>10183</v>
      </c>
      <c r="F4" s="264"/>
    </row>
    <row r="5" spans="2:6">
      <c r="B5" s="116" t="s">
        <v>124</v>
      </c>
      <c r="C5" s="264">
        <v>447</v>
      </c>
      <c r="D5" s="264"/>
      <c r="E5" s="264">
        <v>-1235</v>
      </c>
      <c r="F5" s="264"/>
    </row>
    <row r="6" spans="2:6">
      <c r="B6" s="127" t="s">
        <v>125</v>
      </c>
      <c r="C6" s="264">
        <v>-348</v>
      </c>
      <c r="D6" s="264"/>
      <c r="E6" s="264">
        <v>-361</v>
      </c>
      <c r="F6" s="264"/>
    </row>
    <row r="7" spans="2:6">
      <c r="B7" s="127" t="s">
        <v>126</v>
      </c>
      <c r="C7" s="264">
        <v>-49</v>
      </c>
      <c r="D7" s="264"/>
      <c r="E7" s="189">
        <v>0</v>
      </c>
      <c r="F7" s="189"/>
    </row>
    <row r="8" spans="2:6">
      <c r="B8" s="127" t="s">
        <v>127</v>
      </c>
      <c r="C8" s="264">
        <v>844</v>
      </c>
      <c r="D8" s="264"/>
      <c r="E8" s="264">
        <v>-874</v>
      </c>
      <c r="F8" s="264"/>
    </row>
    <row r="9" spans="2:6">
      <c r="B9" s="116" t="s">
        <v>128</v>
      </c>
      <c r="C9" s="264">
        <v>447</v>
      </c>
      <c r="D9" s="264"/>
      <c r="E9" s="264">
        <v>-1235</v>
      </c>
      <c r="F9" s="264"/>
    </row>
    <row r="10" spans="2:6">
      <c r="B10" s="116" t="s">
        <v>129</v>
      </c>
      <c r="C10" s="264" t="s">
        <v>0</v>
      </c>
      <c r="D10" s="264"/>
      <c r="E10" s="189">
        <v>0</v>
      </c>
      <c r="F10" s="189"/>
    </row>
    <row r="11" spans="2:6">
      <c r="B11" s="127" t="s">
        <v>130</v>
      </c>
      <c r="C11" s="264" t="s">
        <v>0</v>
      </c>
      <c r="D11" s="264"/>
      <c r="E11" s="189">
        <v>0</v>
      </c>
      <c r="F11" s="189"/>
    </row>
    <row r="12" spans="2:6">
      <c r="B12" s="127" t="s">
        <v>131</v>
      </c>
      <c r="C12" s="264" t="s">
        <v>0</v>
      </c>
      <c r="D12" s="264"/>
      <c r="E12" s="189">
        <v>0</v>
      </c>
      <c r="F12" s="189"/>
    </row>
    <row r="13" spans="2:6">
      <c r="B13" s="127" t="s">
        <v>132</v>
      </c>
      <c r="C13" s="264" t="s">
        <v>0</v>
      </c>
      <c r="D13" s="264"/>
      <c r="E13" s="189">
        <v>0</v>
      </c>
      <c r="F13" s="189"/>
    </row>
    <row r="14" spans="2:6">
      <c r="B14" s="116" t="s">
        <v>133</v>
      </c>
      <c r="C14" s="264">
        <v>-470</v>
      </c>
      <c r="D14" s="264"/>
      <c r="E14" s="264">
        <v>2561</v>
      </c>
      <c r="F14" s="264"/>
    </row>
    <row r="15" spans="2:6">
      <c r="B15" s="127" t="s">
        <v>134</v>
      </c>
      <c r="C15" s="264">
        <v>2944</v>
      </c>
      <c r="D15" s="264"/>
      <c r="E15" s="264">
        <v>8356</v>
      </c>
      <c r="F15" s="264"/>
    </row>
    <row r="16" spans="2:6">
      <c r="B16" s="127" t="s">
        <v>135</v>
      </c>
      <c r="C16" s="264">
        <v>-3414</v>
      </c>
      <c r="D16" s="264"/>
      <c r="E16" s="264">
        <v>-5795</v>
      </c>
      <c r="F16" s="264"/>
    </row>
    <row r="17" spans="1:6">
      <c r="B17" s="116" t="s">
        <v>136</v>
      </c>
      <c r="C17" s="264">
        <v>-23</v>
      </c>
      <c r="D17" s="264"/>
      <c r="E17" s="264">
        <v>1326</v>
      </c>
      <c r="F17" s="264"/>
    </row>
    <row r="18" spans="1:6">
      <c r="A18" s="169" t="s">
        <v>161</v>
      </c>
      <c r="B18" s="116" t="s">
        <v>137</v>
      </c>
      <c r="C18" s="264">
        <v>11486</v>
      </c>
      <c r="D18" s="264"/>
      <c r="E18" s="264">
        <v>11509</v>
      </c>
      <c r="F18" s="264"/>
    </row>
    <row r="19" spans="1:6">
      <c r="B19" s="116" t="s">
        <v>162</v>
      </c>
      <c r="C19" s="264">
        <v>11614</v>
      </c>
      <c r="D19" s="264"/>
      <c r="E19" s="264">
        <v>12150</v>
      </c>
      <c r="F19" s="264"/>
    </row>
    <row r="20" spans="1:6">
      <c r="B20" s="128" t="s">
        <v>109</v>
      </c>
      <c r="C20" s="263">
        <v>-3895.4470000000088</v>
      </c>
      <c r="D20" s="263"/>
      <c r="E20" s="263">
        <v>19363.924999999999</v>
      </c>
      <c r="F20" s="263"/>
    </row>
    <row r="21" spans="1:6">
      <c r="B21" s="116" t="s">
        <v>110</v>
      </c>
      <c r="C21" s="263">
        <v>-3895.4470000000088</v>
      </c>
      <c r="D21" s="263"/>
      <c r="E21" s="263">
        <v>19363.924999999999</v>
      </c>
      <c r="F21" s="263"/>
    </row>
    <row r="22" spans="1:6">
      <c r="B22" s="127" t="s">
        <v>24</v>
      </c>
      <c r="C22" s="261"/>
      <c r="D22" s="261"/>
      <c r="E22" s="261"/>
      <c r="F22" s="261"/>
    </row>
    <row r="23" spans="1:6">
      <c r="B23" s="130" t="s">
        <v>111</v>
      </c>
      <c r="C23" s="260">
        <v>24259.043999999994</v>
      </c>
      <c r="D23" s="260"/>
      <c r="E23" s="260">
        <v>66038.043999999994</v>
      </c>
      <c r="F23" s="260"/>
    </row>
    <row r="24" spans="1:6">
      <c r="B24" s="130" t="s">
        <v>112</v>
      </c>
      <c r="C24" s="260">
        <v>28663.281000000003</v>
      </c>
      <c r="D24" s="260"/>
      <c r="E24" s="260">
        <v>46836.438999999998</v>
      </c>
      <c r="F24" s="260"/>
    </row>
    <row r="25" spans="1:6">
      <c r="B25" s="130" t="s">
        <v>113</v>
      </c>
      <c r="C25" s="260">
        <v>-4404.2370000000083</v>
      </c>
      <c r="D25" s="260"/>
      <c r="E25" s="260">
        <v>19201.605</v>
      </c>
      <c r="F25" s="260"/>
    </row>
    <row r="26" spans="1:6">
      <c r="B26" s="127" t="s">
        <v>25</v>
      </c>
      <c r="C26" s="262"/>
      <c r="D26" s="262"/>
      <c r="E26" s="262"/>
      <c r="F26" s="262"/>
    </row>
    <row r="27" spans="1:6">
      <c r="B27" s="130" t="s">
        <v>111</v>
      </c>
      <c r="C27" s="260">
        <v>44.997</v>
      </c>
      <c r="D27" s="260"/>
      <c r="E27" s="260">
        <v>162.32</v>
      </c>
      <c r="F27" s="260"/>
    </row>
    <row r="28" spans="1:6">
      <c r="B28" s="130" t="s">
        <v>112</v>
      </c>
      <c r="C28" s="260">
        <v>173.11500000000001</v>
      </c>
      <c r="D28" s="260"/>
      <c r="E28" s="257">
        <v>0</v>
      </c>
      <c r="F28" s="257"/>
    </row>
    <row r="29" spans="1:6">
      <c r="B29" s="130" t="s">
        <v>113</v>
      </c>
      <c r="C29" s="260">
        <v>-128.11799999999999</v>
      </c>
      <c r="D29" s="260"/>
      <c r="E29" s="260">
        <v>162.32</v>
      </c>
      <c r="F29" s="260"/>
    </row>
    <row r="30" spans="1:6">
      <c r="B30" s="127" t="s">
        <v>26</v>
      </c>
      <c r="C30" s="262"/>
      <c r="D30" s="262"/>
      <c r="E30" s="262"/>
      <c r="F30" s="262"/>
    </row>
    <row r="31" spans="1:6">
      <c r="B31" s="130" t="s">
        <v>111</v>
      </c>
      <c r="C31" s="260">
        <v>546.98599999999999</v>
      </c>
      <c r="D31" s="260"/>
      <c r="E31" s="257">
        <v>0</v>
      </c>
      <c r="F31" s="257"/>
    </row>
    <row r="32" spans="1:6">
      <c r="B32" s="130" t="s">
        <v>112</v>
      </c>
      <c r="C32" s="260">
        <v>0.17299999999999999</v>
      </c>
      <c r="D32" s="260"/>
      <c r="E32" s="257">
        <v>0</v>
      </c>
      <c r="F32" s="257"/>
    </row>
    <row r="33" spans="2:6">
      <c r="B33" s="130" t="s">
        <v>113</v>
      </c>
      <c r="C33" s="260">
        <v>546.81299999999999</v>
      </c>
      <c r="D33" s="260"/>
      <c r="E33" s="257">
        <v>0</v>
      </c>
      <c r="F33" s="257"/>
    </row>
    <row r="34" spans="2:6">
      <c r="B34" s="127" t="s">
        <v>27</v>
      </c>
      <c r="C34" s="262"/>
      <c r="D34" s="262"/>
      <c r="E34" s="262"/>
      <c r="F34" s="262"/>
    </row>
    <row r="35" spans="2:6">
      <c r="B35" s="130" t="s">
        <v>111</v>
      </c>
      <c r="C35" s="260">
        <v>90.094999999999999</v>
      </c>
      <c r="D35" s="260"/>
      <c r="E35" s="257">
        <v>0</v>
      </c>
      <c r="F35" s="257"/>
    </row>
    <row r="36" spans="2:6">
      <c r="B36" s="130" t="s">
        <v>112</v>
      </c>
      <c r="C36" s="257">
        <v>0</v>
      </c>
      <c r="D36" s="257"/>
      <c r="E36" s="257">
        <v>0</v>
      </c>
      <c r="F36" s="257"/>
    </row>
    <row r="37" spans="2:6">
      <c r="B37" s="130" t="s">
        <v>113</v>
      </c>
      <c r="C37" s="260">
        <v>90.094999999999999</v>
      </c>
      <c r="D37" s="260"/>
      <c r="E37" s="257">
        <v>0</v>
      </c>
      <c r="F37" s="257"/>
    </row>
    <row r="38" spans="2:6">
      <c r="B38" s="116" t="s">
        <v>114</v>
      </c>
      <c r="C38" s="262">
        <v>96680.437999999995</v>
      </c>
      <c r="D38" s="262"/>
      <c r="E38" s="262">
        <v>100575.88499999999</v>
      </c>
      <c r="F38" s="262"/>
    </row>
    <row r="39" spans="2:6">
      <c r="B39" s="127" t="s">
        <v>24</v>
      </c>
      <c r="C39" s="262"/>
      <c r="D39" s="262"/>
      <c r="E39" s="262"/>
      <c r="F39" s="262"/>
    </row>
    <row r="40" spans="2:6">
      <c r="B40" s="130" t="s">
        <v>111</v>
      </c>
      <c r="C40" s="260">
        <v>195565.81599999999</v>
      </c>
      <c r="D40" s="260"/>
      <c r="E40" s="260">
        <v>171306.772</v>
      </c>
      <c r="F40" s="260"/>
    </row>
    <row r="41" spans="2:6">
      <c r="B41" s="130" t="s">
        <v>112</v>
      </c>
      <c r="C41" s="260">
        <v>99556.487999999998</v>
      </c>
      <c r="D41" s="260"/>
      <c r="E41" s="260">
        <v>70893.206999999995</v>
      </c>
      <c r="F41" s="260"/>
    </row>
    <row r="42" spans="2:6">
      <c r="B42" s="130" t="s">
        <v>113</v>
      </c>
      <c r="C42" s="260">
        <v>96009.327999999994</v>
      </c>
      <c r="D42" s="260"/>
      <c r="E42" s="260">
        <v>100413.565</v>
      </c>
      <c r="F42" s="260"/>
    </row>
    <row r="43" spans="2:6">
      <c r="B43" s="127" t="s">
        <v>25</v>
      </c>
      <c r="C43" s="259"/>
      <c r="D43" s="259"/>
      <c r="E43" s="259"/>
      <c r="F43" s="259"/>
    </row>
    <row r="44" spans="2:6">
      <c r="B44" s="130" t="s">
        <v>111</v>
      </c>
      <c r="C44" s="256">
        <v>207.31700000000001</v>
      </c>
      <c r="D44" s="256"/>
      <c r="E44" s="256">
        <v>162.32</v>
      </c>
      <c r="F44" s="256"/>
    </row>
    <row r="45" spans="2:6">
      <c r="B45" s="130" t="s">
        <v>112</v>
      </c>
      <c r="C45" s="256">
        <v>173.11500000000001</v>
      </c>
      <c r="D45" s="256"/>
      <c r="E45" s="256">
        <v>0</v>
      </c>
      <c r="F45" s="256"/>
    </row>
    <row r="46" spans="2:6">
      <c r="B46" s="130" t="s">
        <v>113</v>
      </c>
      <c r="C46" s="256">
        <v>34.201999999999998</v>
      </c>
      <c r="D46" s="256"/>
      <c r="E46" s="256">
        <v>162.32</v>
      </c>
      <c r="F46" s="256"/>
    </row>
    <row r="47" spans="2:6">
      <c r="B47" s="127" t="s">
        <v>26</v>
      </c>
      <c r="C47" s="259"/>
      <c r="D47" s="259"/>
      <c r="E47" s="259"/>
      <c r="F47" s="259"/>
    </row>
    <row r="48" spans="2:6">
      <c r="B48" s="130" t="s">
        <v>111</v>
      </c>
      <c r="C48" s="256">
        <v>546.98599999999999</v>
      </c>
      <c r="D48" s="256"/>
      <c r="E48" s="256">
        <v>0</v>
      </c>
      <c r="F48" s="256"/>
    </row>
    <row r="49" spans="2:6">
      <c r="B49" s="130" t="s">
        <v>112</v>
      </c>
      <c r="C49" s="256">
        <v>0.17299999999999999</v>
      </c>
      <c r="D49" s="256"/>
      <c r="E49" s="256">
        <v>0</v>
      </c>
      <c r="F49" s="256"/>
    </row>
    <row r="50" spans="2:6">
      <c r="B50" s="130" t="s">
        <v>113</v>
      </c>
      <c r="C50" s="256">
        <v>546.81299999999999</v>
      </c>
      <c r="D50" s="256"/>
      <c r="E50" s="256">
        <v>0</v>
      </c>
      <c r="F50" s="256"/>
    </row>
    <row r="51" spans="2:6">
      <c r="B51" s="127" t="s">
        <v>27</v>
      </c>
      <c r="C51" s="259"/>
      <c r="D51" s="259"/>
      <c r="E51" s="259"/>
      <c r="F51" s="259"/>
    </row>
    <row r="52" spans="2:6">
      <c r="B52" s="130" t="s">
        <v>111</v>
      </c>
      <c r="C52" s="256">
        <v>90.094999999999999</v>
      </c>
      <c r="D52" s="256"/>
      <c r="E52" s="256">
        <v>0</v>
      </c>
      <c r="F52" s="256"/>
    </row>
    <row r="53" spans="2:6">
      <c r="B53" s="130" t="s">
        <v>112</v>
      </c>
      <c r="C53" s="256">
        <v>0</v>
      </c>
      <c r="D53" s="256"/>
      <c r="E53" s="256">
        <v>0</v>
      </c>
      <c r="F53" s="256"/>
    </row>
    <row r="54" spans="2:6">
      <c r="B54" s="130" t="s">
        <v>113</v>
      </c>
      <c r="C54" s="256">
        <v>90.094999999999999</v>
      </c>
      <c r="D54" s="256"/>
      <c r="E54" s="256">
        <v>0</v>
      </c>
      <c r="F54" s="256"/>
    </row>
    <row r="55" spans="2:6">
      <c r="B55" s="116" t="s">
        <v>2</v>
      </c>
      <c r="C55" s="254">
        <v>0</v>
      </c>
      <c r="D55" s="258"/>
      <c r="E55" s="254">
        <v>0</v>
      </c>
      <c r="F55" s="258"/>
    </row>
    <row r="56" spans="2:6">
      <c r="B56" s="120" t="s">
        <v>115</v>
      </c>
      <c r="C56" s="246"/>
      <c r="D56" s="247"/>
      <c r="E56" s="246"/>
      <c r="F56" s="247"/>
    </row>
    <row r="57" spans="2:6">
      <c r="B57" s="134" t="s">
        <v>116</v>
      </c>
      <c r="C57" s="252"/>
      <c r="D57" s="253"/>
      <c r="E57" s="252"/>
      <c r="F57" s="253"/>
    </row>
    <row r="58" spans="2:6">
      <c r="B58" s="135" t="s">
        <v>24</v>
      </c>
      <c r="C58" s="246">
        <v>114.43</v>
      </c>
      <c r="D58" s="247"/>
      <c r="E58" s="246">
        <v>125.39</v>
      </c>
      <c r="F58" s="247"/>
    </row>
    <row r="59" spans="2:6">
      <c r="B59" s="135" t="s">
        <v>25</v>
      </c>
      <c r="C59" s="246">
        <v>115.73</v>
      </c>
      <c r="D59" s="247"/>
      <c r="E59" s="254">
        <v>0</v>
      </c>
      <c r="F59" s="255"/>
    </row>
    <row r="60" spans="2:6">
      <c r="B60" s="134" t="s">
        <v>117</v>
      </c>
      <c r="C60" s="246"/>
      <c r="D60" s="247"/>
      <c r="E60" s="246"/>
      <c r="F60" s="247"/>
    </row>
    <row r="61" spans="2:6">
      <c r="B61" s="135" t="s">
        <v>24</v>
      </c>
      <c r="C61" s="246">
        <v>118.79</v>
      </c>
      <c r="D61" s="247"/>
      <c r="E61" s="246">
        <v>114.43</v>
      </c>
      <c r="F61" s="247"/>
    </row>
    <row r="62" spans="2:6">
      <c r="B62" s="135" t="s">
        <v>25</v>
      </c>
      <c r="C62" s="246">
        <v>122.32</v>
      </c>
      <c r="D62" s="247"/>
      <c r="E62" s="246">
        <v>115.73</v>
      </c>
      <c r="F62" s="247"/>
    </row>
    <row r="63" spans="2:6">
      <c r="B63" s="135" t="s">
        <v>26</v>
      </c>
      <c r="C63" s="246">
        <v>120.25</v>
      </c>
      <c r="D63" s="247"/>
      <c r="E63" s="246">
        <v>0</v>
      </c>
      <c r="F63" s="247"/>
    </row>
    <row r="64" spans="2:6">
      <c r="B64" s="135" t="s">
        <v>27</v>
      </c>
      <c r="C64" s="246">
        <v>119.01</v>
      </c>
      <c r="D64" s="247"/>
      <c r="E64" s="248">
        <v>0</v>
      </c>
      <c r="F64" s="249"/>
    </row>
    <row r="65" spans="2:6">
      <c r="B65" s="134" t="s">
        <v>118</v>
      </c>
      <c r="C65" s="246"/>
      <c r="D65" s="250"/>
      <c r="E65" s="251"/>
      <c r="F65" s="251"/>
    </row>
    <row r="66" spans="2:6">
      <c r="B66" s="135" t="s">
        <v>24</v>
      </c>
      <c r="C66" s="243">
        <v>3.81</v>
      </c>
      <c r="D66" s="244"/>
      <c r="E66" s="245">
        <v>-8.74</v>
      </c>
      <c r="F66" s="245"/>
    </row>
    <row r="67" spans="2:6">
      <c r="B67" s="135" t="s">
        <v>25</v>
      </c>
      <c r="C67" s="243">
        <v>5.69</v>
      </c>
      <c r="D67" s="244"/>
      <c r="E67" s="245">
        <v>-14.25</v>
      </c>
      <c r="F67" s="245"/>
    </row>
    <row r="68" spans="2:6">
      <c r="B68" s="135" t="s">
        <v>26</v>
      </c>
      <c r="C68" s="243">
        <v>11.983561643835616</v>
      </c>
      <c r="D68" s="244"/>
      <c r="E68" s="189">
        <v>0</v>
      </c>
      <c r="F68" s="189"/>
    </row>
    <row r="69" spans="2:6">
      <c r="B69" s="135" t="s">
        <v>27</v>
      </c>
      <c r="C69" s="243">
        <v>5.3644657534246596</v>
      </c>
      <c r="D69" s="244"/>
      <c r="E69" s="189">
        <v>0</v>
      </c>
      <c r="F69" s="189"/>
    </row>
    <row r="70" spans="2:6" ht="19.2">
      <c r="B70" s="134" t="s">
        <v>119</v>
      </c>
      <c r="C70" s="142" t="s">
        <v>147</v>
      </c>
      <c r="D70" s="142" t="s">
        <v>148</v>
      </c>
      <c r="E70" s="143" t="s">
        <v>147</v>
      </c>
      <c r="F70" s="143" t="s">
        <v>148</v>
      </c>
    </row>
    <row r="71" spans="2:6">
      <c r="B71" s="135" t="s">
        <v>24</v>
      </c>
      <c r="C71" s="142">
        <v>111.31</v>
      </c>
      <c r="D71" s="141">
        <v>43691</v>
      </c>
      <c r="E71" s="142">
        <v>111.3</v>
      </c>
      <c r="F71" s="141">
        <v>43402</v>
      </c>
    </row>
    <row r="72" spans="2:6">
      <c r="B72" s="135" t="s">
        <v>25</v>
      </c>
      <c r="C72" s="142">
        <v>113.83</v>
      </c>
      <c r="D72" s="141">
        <v>43691</v>
      </c>
      <c r="E72" s="142">
        <v>112.23092842627571</v>
      </c>
      <c r="F72" s="141">
        <v>43402</v>
      </c>
    </row>
    <row r="73" spans="2:6">
      <c r="B73" s="135" t="s">
        <v>26</v>
      </c>
      <c r="C73" s="142">
        <v>111.77</v>
      </c>
      <c r="D73" s="141">
        <v>43691</v>
      </c>
      <c r="E73" s="145">
        <v>0</v>
      </c>
      <c r="F73" s="141" t="s">
        <v>0</v>
      </c>
    </row>
    <row r="74" spans="2:6" ht="19.2">
      <c r="B74" s="135" t="s">
        <v>27</v>
      </c>
      <c r="C74" s="142">
        <v>112.5</v>
      </c>
      <c r="D74" s="141" t="s">
        <v>154</v>
      </c>
      <c r="E74" s="145">
        <v>0</v>
      </c>
      <c r="F74" s="141" t="s">
        <v>0</v>
      </c>
    </row>
    <row r="75" spans="2:6" ht="19.2">
      <c r="B75" s="134" t="s">
        <v>120</v>
      </c>
      <c r="C75" s="142" t="s">
        <v>147</v>
      </c>
      <c r="D75" s="142" t="s">
        <v>148</v>
      </c>
      <c r="E75" s="142" t="s">
        <v>147</v>
      </c>
      <c r="F75" s="142" t="s">
        <v>148</v>
      </c>
    </row>
    <row r="76" spans="2:6">
      <c r="B76" s="135" t="s">
        <v>24</v>
      </c>
      <c r="C76" s="142">
        <v>123.12</v>
      </c>
      <c r="D76" s="141">
        <v>43521</v>
      </c>
      <c r="E76" s="142">
        <v>135.53</v>
      </c>
      <c r="F76" s="141">
        <v>43126</v>
      </c>
    </row>
    <row r="77" spans="2:6">
      <c r="B77" s="135" t="s">
        <v>25</v>
      </c>
      <c r="C77" s="142">
        <v>124.97</v>
      </c>
      <c r="D77" s="141">
        <v>43558</v>
      </c>
      <c r="E77" s="142">
        <v>129.07</v>
      </c>
      <c r="F77" s="141">
        <v>43257</v>
      </c>
    </row>
    <row r="78" spans="2:6">
      <c r="B78" s="135" t="s">
        <v>26</v>
      </c>
      <c r="C78" s="142">
        <v>121.66</v>
      </c>
      <c r="D78" s="141">
        <v>43648</v>
      </c>
      <c r="E78" s="142" t="s">
        <v>0</v>
      </c>
      <c r="F78" s="141" t="s">
        <v>0</v>
      </c>
    </row>
    <row r="79" spans="2:6">
      <c r="B79" s="135" t="s">
        <v>27</v>
      </c>
      <c r="C79" s="142">
        <v>119.17</v>
      </c>
      <c r="D79" s="141">
        <v>43826</v>
      </c>
      <c r="E79" s="145">
        <v>0</v>
      </c>
      <c r="F79" s="141" t="s">
        <v>0</v>
      </c>
    </row>
    <row r="80" spans="2:6" ht="19.2">
      <c r="B80" s="134" t="s">
        <v>121</v>
      </c>
      <c r="C80" s="142" t="s">
        <v>147</v>
      </c>
      <c r="D80" s="142" t="s">
        <v>148</v>
      </c>
      <c r="E80" s="142" t="s">
        <v>147</v>
      </c>
      <c r="F80" s="142" t="s">
        <v>148</v>
      </c>
    </row>
    <row r="81" spans="2:6">
      <c r="B81" s="135" t="s">
        <v>24</v>
      </c>
      <c r="C81" s="142">
        <v>118.75</v>
      </c>
      <c r="D81" s="141">
        <v>43829</v>
      </c>
      <c r="E81" s="142">
        <v>114.07692536361994</v>
      </c>
      <c r="F81" s="141">
        <v>43462</v>
      </c>
    </row>
    <row r="82" spans="2:6">
      <c r="B82" s="135" t="s">
        <v>25</v>
      </c>
      <c r="C82" s="142">
        <v>122.27</v>
      </c>
      <c r="D82" s="141">
        <v>43829</v>
      </c>
      <c r="E82" s="142">
        <v>115.36384918679153</v>
      </c>
      <c r="F82" s="141">
        <v>43462</v>
      </c>
    </row>
    <row r="83" spans="2:6">
      <c r="B83" s="135" t="s">
        <v>26</v>
      </c>
      <c r="C83" s="142">
        <v>120.2</v>
      </c>
      <c r="D83" s="141">
        <v>43829</v>
      </c>
      <c r="E83" s="142" t="s">
        <v>0</v>
      </c>
      <c r="F83" s="141" t="s">
        <v>0</v>
      </c>
    </row>
    <row r="84" spans="2:6">
      <c r="B84" s="135" t="s">
        <v>27</v>
      </c>
      <c r="C84" s="142">
        <v>118.97</v>
      </c>
      <c r="D84" s="141">
        <v>43829</v>
      </c>
      <c r="E84" s="142" t="s">
        <v>0</v>
      </c>
      <c r="F84" s="141" t="s">
        <v>0</v>
      </c>
    </row>
    <row r="85" spans="2:6">
      <c r="B85" s="128" t="s">
        <v>139</v>
      </c>
      <c r="C85" s="242">
        <v>3.6599999999999997</v>
      </c>
      <c r="D85" s="242"/>
      <c r="E85" s="242">
        <v>3.6211540966350002</v>
      </c>
      <c r="F85" s="242"/>
    </row>
    <row r="86" spans="2:6">
      <c r="B86" s="127" t="s">
        <v>49</v>
      </c>
      <c r="C86" s="186">
        <v>2.5299999999999998</v>
      </c>
      <c r="D86" s="186"/>
      <c r="E86" s="186">
        <v>2.5265779719700001</v>
      </c>
      <c r="F86" s="186"/>
    </row>
    <row r="87" spans="2:6">
      <c r="B87" s="127" t="s">
        <v>50</v>
      </c>
      <c r="C87" s="189">
        <v>0</v>
      </c>
      <c r="D87" s="189"/>
      <c r="E87" s="189">
        <v>0</v>
      </c>
      <c r="F87" s="189"/>
    </row>
    <row r="88" spans="2:6">
      <c r="B88" s="127" t="s">
        <v>51</v>
      </c>
      <c r="C88" s="186">
        <v>0.41</v>
      </c>
      <c r="D88" s="186"/>
      <c r="E88" s="186">
        <v>0.42795457505700002</v>
      </c>
      <c r="F88" s="186"/>
    </row>
    <row r="89" spans="2:6">
      <c r="B89" s="127" t="s">
        <v>52</v>
      </c>
      <c r="C89" s="186">
        <v>7.8E-2</v>
      </c>
      <c r="D89" s="186"/>
      <c r="E89" s="186">
        <v>9.0528852416000005E-2</v>
      </c>
      <c r="F89" s="186"/>
    </row>
    <row r="90" spans="2:6">
      <c r="B90" s="127" t="s">
        <v>54</v>
      </c>
      <c r="C90" s="186">
        <v>0.62</v>
      </c>
      <c r="D90" s="186"/>
      <c r="E90" s="186">
        <v>0.54317311449500005</v>
      </c>
      <c r="F90" s="186"/>
    </row>
    <row r="91" spans="2:6">
      <c r="B91" s="127" t="s">
        <v>55</v>
      </c>
      <c r="C91" s="189">
        <v>0</v>
      </c>
      <c r="D91" s="189"/>
      <c r="E91" s="189">
        <v>0</v>
      </c>
      <c r="F91" s="189"/>
    </row>
    <row r="93" spans="2:6">
      <c r="B93" s="131" t="s">
        <v>161</v>
      </c>
      <c r="C93" s="132"/>
      <c r="D93" s="132"/>
      <c r="E93" s="132"/>
      <c r="F93" s="132"/>
    </row>
    <row r="95" spans="2:6">
      <c r="B95" s="131"/>
      <c r="C95" s="132"/>
      <c r="D95" s="132"/>
      <c r="E95" s="132"/>
      <c r="F95" s="132"/>
    </row>
  </sheetData>
  <mergeCells count="150">
    <mergeCell ref="C4:D4"/>
    <mergeCell ref="E4:F4"/>
    <mergeCell ref="C5:D5"/>
    <mergeCell ref="E5:F5"/>
    <mergeCell ref="C2:D2"/>
    <mergeCell ref="E2:F2"/>
    <mergeCell ref="C3:D3"/>
    <mergeCell ref="E3:F3"/>
    <mergeCell ref="C8:D8"/>
    <mergeCell ref="E8:F8"/>
    <mergeCell ref="C9:D9"/>
    <mergeCell ref="E9:F9"/>
    <mergeCell ref="C6:D6"/>
    <mergeCell ref="E6:F6"/>
    <mergeCell ref="C7:D7"/>
    <mergeCell ref="E7:F7"/>
    <mergeCell ref="C12:D12"/>
    <mergeCell ref="E12:F12"/>
    <mergeCell ref="C13:D13"/>
    <mergeCell ref="E13:F13"/>
    <mergeCell ref="C10:D10"/>
    <mergeCell ref="E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44:D44"/>
    <mergeCell ref="E44:F44"/>
    <mergeCell ref="C45:D45"/>
    <mergeCell ref="E45:F45"/>
    <mergeCell ref="C42:D42"/>
    <mergeCell ref="E42:F42"/>
    <mergeCell ref="C43:D43"/>
    <mergeCell ref="E43:F43"/>
    <mergeCell ref="C48:D48"/>
    <mergeCell ref="E48:F48"/>
    <mergeCell ref="C49:D49"/>
    <mergeCell ref="E49:F49"/>
    <mergeCell ref="C46:D46"/>
    <mergeCell ref="E46:F46"/>
    <mergeCell ref="C47:D47"/>
    <mergeCell ref="E47:F47"/>
    <mergeCell ref="C52:D52"/>
    <mergeCell ref="E52:F52"/>
    <mergeCell ref="C53:D53"/>
    <mergeCell ref="E53:F53"/>
    <mergeCell ref="C50:D50"/>
    <mergeCell ref="E50:F50"/>
    <mergeCell ref="C51:D51"/>
    <mergeCell ref="E51:F51"/>
    <mergeCell ref="C56:D56"/>
    <mergeCell ref="E56:F56"/>
    <mergeCell ref="C57:D57"/>
    <mergeCell ref="E57:F57"/>
    <mergeCell ref="C54:D54"/>
    <mergeCell ref="E54:F54"/>
    <mergeCell ref="C55:D55"/>
    <mergeCell ref="E55:F55"/>
    <mergeCell ref="C58:D58"/>
    <mergeCell ref="E58:F58"/>
    <mergeCell ref="C59:D59"/>
    <mergeCell ref="E59:F59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68:D68"/>
    <mergeCell ref="E68:F68"/>
    <mergeCell ref="C69:D69"/>
    <mergeCell ref="E69:F69"/>
    <mergeCell ref="C87:D87"/>
    <mergeCell ref="E87:F87"/>
    <mergeCell ref="C88:D88"/>
    <mergeCell ref="E88:F88"/>
    <mergeCell ref="C85:D85"/>
    <mergeCell ref="E85:F85"/>
    <mergeCell ref="C86:D86"/>
    <mergeCell ref="E86:F86"/>
    <mergeCell ref="C91:D91"/>
    <mergeCell ref="E91:F91"/>
    <mergeCell ref="C89:D89"/>
    <mergeCell ref="E89:F89"/>
    <mergeCell ref="C90:D90"/>
    <mergeCell ref="E90:F9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17</vt:i4>
      </vt:variant>
    </vt:vector>
  </HeadingPairs>
  <TitlesOfParts>
    <vt:vector size="2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zestawienie_zmian nominal</vt:lpstr>
      <vt:lpstr>eFR_ARK_1_akcje</vt:lpstr>
      <vt:lpstr>eFR_ARK_1_gwarant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'zestawienie_zmian nominal'!eFR_ARK_zest_lkat</vt:lpstr>
      <vt:lpstr>eFR_ARK_zest_lkat</vt:lpstr>
      <vt:lpstr>'zestawienie_zmian nominal'!eFR_ARK_zest_wkat</vt:lpstr>
      <vt:lpstr>eFR_ARK_zest_wkat</vt:lpstr>
      <vt:lpstr>'zestawienie_zmian nominal'!eFR_ARK_zest_zmian</vt:lpstr>
      <vt:lpstr>eFR_ARK_zest_zmian</vt:lpstr>
      <vt:lpstr>'zestawienie_zmian nominal'!eFR_ARK_zest_zmian_ukf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2020-05-22T12:02:35Z</dcterms:modified>
</cp:coreProperties>
</file>